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8_{0A0E77EC-6923-4CB8-BB44-84C24A81C07D}" xr6:coauthVersionLast="44" xr6:coauthVersionMax="44" xr10:uidLastSave="{00000000-0000-0000-0000-000000000000}"/>
  <bookViews>
    <workbookView xWindow="-108" yWindow="-108" windowWidth="23256" windowHeight="12600" xr2:uid="{00000000-000D-0000-FFFF-FFFF00000000}"/>
  </bookViews>
  <sheets>
    <sheet name="BEDFORD RD" sheetId="2" r:id="rId1"/>
    <sheet name="PEARSTON RD" sheetId="4" r:id="rId2"/>
    <sheet name="GRAAFF REINET RD" sheetId="5" r:id="rId3"/>
    <sheet name="S EAST RD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4" i="1" l="1"/>
  <c r="H64" i="1" s="1"/>
  <c r="N62" i="1"/>
  <c r="H62" i="1" s="1"/>
  <c r="Z62" i="1" s="1"/>
  <c r="D63" i="1"/>
  <c r="N63" i="1" s="1"/>
  <c r="H63" i="1" s="1"/>
  <c r="Z63" i="1" s="1"/>
  <c r="D61" i="1"/>
  <c r="N61" i="1" s="1"/>
  <c r="H61" i="1" s="1"/>
  <c r="N66" i="1"/>
  <c r="H66" i="1" s="1"/>
  <c r="Z66" i="1" s="1"/>
  <c r="N65" i="1"/>
  <c r="H65" i="1" s="1"/>
  <c r="Z65" i="1" s="1"/>
  <c r="N60" i="1"/>
  <c r="H60" i="1" s="1"/>
  <c r="Z60" i="1" s="1"/>
  <c r="N59" i="1"/>
  <c r="H59" i="1" s="1"/>
  <c r="Z59" i="1" s="1"/>
  <c r="N58" i="1"/>
  <c r="H58" i="1" s="1"/>
  <c r="Z58" i="1" s="1"/>
  <c r="N57" i="1"/>
  <c r="H57" i="1" s="1"/>
  <c r="Z57" i="1" s="1"/>
  <c r="N56" i="1"/>
  <c r="H56" i="1" s="1"/>
  <c r="Z56" i="1" s="1"/>
  <c r="N55" i="1"/>
  <c r="H55" i="1" s="1"/>
  <c r="Z55" i="1" s="1"/>
  <c r="N54" i="1"/>
  <c r="H54" i="1" s="1"/>
  <c r="Z54" i="1" s="1"/>
  <c r="N53" i="1"/>
  <c r="H53" i="1" s="1"/>
  <c r="Z53" i="1" s="1"/>
  <c r="N52" i="1"/>
  <c r="H52" i="1" s="1"/>
  <c r="Z52" i="1" s="1"/>
  <c r="N51" i="1"/>
  <c r="H51" i="1" s="1"/>
  <c r="Z51" i="1" s="1"/>
  <c r="N50" i="1"/>
  <c r="H50" i="1" s="1"/>
  <c r="Z50" i="1" s="1"/>
  <c r="N49" i="1"/>
  <c r="H49" i="1" s="1"/>
  <c r="Z49" i="1" s="1"/>
  <c r="N48" i="1"/>
  <c r="H48" i="1" s="1"/>
  <c r="Z48" i="1" s="1"/>
  <c r="N47" i="1"/>
  <c r="H47" i="1" s="1"/>
  <c r="Z47" i="1" s="1"/>
  <c r="N46" i="1"/>
  <c r="H46" i="1" s="1"/>
  <c r="Z46" i="1" s="1"/>
  <c r="N45" i="1"/>
  <c r="H45" i="1" s="1"/>
  <c r="Z45" i="1" s="1"/>
  <c r="N44" i="1"/>
  <c r="H44" i="1" s="1"/>
  <c r="Z44" i="1" s="1"/>
  <c r="N43" i="1"/>
  <c r="H43" i="1" s="1"/>
  <c r="Z43" i="1" s="1"/>
  <c r="N42" i="1"/>
  <c r="H42" i="1" s="1"/>
  <c r="Z42" i="1" s="1"/>
  <c r="T41" i="1"/>
  <c r="S41" i="1"/>
  <c r="Q41" i="1"/>
  <c r="P41" i="1"/>
  <c r="N41" i="1"/>
  <c r="P40" i="1"/>
  <c r="N40" i="1"/>
  <c r="N39" i="1"/>
  <c r="H39" i="1"/>
  <c r="Z39" i="1" s="1"/>
  <c r="D38" i="1"/>
  <c r="N38" i="1" s="1"/>
  <c r="H38" i="1" s="1"/>
  <c r="Z38" i="1" s="1"/>
  <c r="N37" i="1"/>
  <c r="H37" i="1" s="1"/>
  <c r="Z37" i="1" s="1"/>
  <c r="R36" i="1"/>
  <c r="D36" i="1"/>
  <c r="N36" i="1" s="1"/>
  <c r="N35" i="1"/>
  <c r="H35" i="1" s="1"/>
  <c r="Z35" i="1" s="1"/>
  <c r="N34" i="1"/>
  <c r="H34" i="1" s="1"/>
  <c r="Z34" i="1" s="1"/>
  <c r="N33" i="1"/>
  <c r="N32" i="1"/>
  <c r="N31" i="1"/>
  <c r="H31" i="1" s="1"/>
  <c r="Z31" i="1" s="1"/>
  <c r="D30" i="1"/>
  <c r="N30" i="1" s="1"/>
  <c r="H30" i="1" s="1"/>
  <c r="Z30" i="1" s="1"/>
  <c r="N29" i="1"/>
  <c r="H29" i="1" s="1"/>
  <c r="Z29" i="1" s="1"/>
  <c r="N28" i="1"/>
  <c r="H28" i="1" s="1"/>
  <c r="Z28" i="1" s="1"/>
  <c r="N27" i="1"/>
  <c r="H27" i="1" s="1"/>
  <c r="Z27" i="1" s="1"/>
  <c r="N26" i="1"/>
  <c r="H26" i="1" s="1"/>
  <c r="Z26" i="1" s="1"/>
  <c r="N25" i="1"/>
  <c r="H25" i="1" s="1"/>
  <c r="Z25" i="1" s="1"/>
  <c r="N24" i="1"/>
  <c r="H24" i="1" s="1"/>
  <c r="Z24" i="1" s="1"/>
  <c r="N23" i="1"/>
  <c r="H23" i="1" s="1"/>
  <c r="Z23" i="1" s="1"/>
  <c r="N22" i="1"/>
  <c r="H22" i="1" s="1"/>
  <c r="Z22" i="1" s="1"/>
  <c r="N21" i="1"/>
  <c r="H21" i="1" s="1"/>
  <c r="Z21" i="1" s="1"/>
  <c r="N20" i="1"/>
  <c r="H20" i="1"/>
  <c r="Z20" i="1" s="1"/>
  <c r="N19" i="1"/>
  <c r="H19" i="1"/>
  <c r="Z19" i="1" s="1"/>
  <c r="N18" i="1"/>
  <c r="H18" i="1"/>
  <c r="Z18" i="1" s="1"/>
  <c r="N17" i="1"/>
  <c r="H17" i="1"/>
  <c r="Z17" i="1" s="1"/>
  <c r="N16" i="1"/>
  <c r="H16" i="1" s="1"/>
  <c r="Z16" i="1" s="1"/>
  <c r="N15" i="1"/>
  <c r="H15" i="1" s="1"/>
  <c r="Z15" i="1" s="1"/>
  <c r="N14" i="1"/>
  <c r="H14" i="1" s="1"/>
  <c r="Z14" i="1" s="1"/>
  <c r="Y13" i="1"/>
  <c r="N13" i="1"/>
  <c r="D12" i="1"/>
  <c r="N12" i="1" s="1"/>
  <c r="H12" i="1" s="1"/>
  <c r="Z12" i="1" s="1"/>
  <c r="N11" i="1"/>
  <c r="H11" i="1" s="1"/>
  <c r="Z11" i="1" s="1"/>
  <c r="N10" i="1"/>
  <c r="H10" i="1" s="1"/>
  <c r="Z10" i="1" s="1"/>
  <c r="N9" i="1"/>
  <c r="H9" i="1"/>
  <c r="Z9" i="1" s="1"/>
  <c r="D8" i="1"/>
  <c r="N8" i="1" s="1"/>
  <c r="H8" i="1" s="1"/>
  <c r="Z8" i="1" s="1"/>
  <c r="N7" i="1"/>
  <c r="H7" i="1" s="1"/>
  <c r="Z7" i="1" s="1"/>
  <c r="N6" i="1"/>
  <c r="H6" i="1" s="1"/>
  <c r="Z6" i="1" s="1"/>
  <c r="N5" i="1"/>
  <c r="H5" i="1" s="1"/>
  <c r="Z5" i="1" s="1"/>
  <c r="H9" i="5"/>
  <c r="P9" i="5" s="1"/>
  <c r="H8" i="5"/>
  <c r="P8" i="5" s="1"/>
  <c r="H7" i="5"/>
  <c r="P7" i="5" s="1"/>
  <c r="H6" i="5"/>
  <c r="P6" i="5" s="1"/>
  <c r="H5" i="5"/>
  <c r="P5" i="5" s="1"/>
  <c r="H6" i="4"/>
  <c r="V6" i="4" s="1"/>
  <c r="H5" i="4"/>
  <c r="V5" i="4" s="1"/>
  <c r="V7" i="4" s="1"/>
  <c r="M19" i="2"/>
  <c r="H19" i="2" s="1"/>
  <c r="Z19" i="2" s="1"/>
  <c r="M18" i="2"/>
  <c r="H18" i="2"/>
  <c r="Z18" i="2" s="1"/>
  <c r="H17" i="2"/>
  <c r="Z17" i="2" s="1"/>
  <c r="H16" i="2"/>
  <c r="Z16" i="2" s="1"/>
  <c r="O15" i="2"/>
  <c r="H15" i="2" s="1"/>
  <c r="Z15" i="2" s="1"/>
  <c r="H14" i="2"/>
  <c r="Z14" i="2" s="1"/>
  <c r="M13" i="2"/>
  <c r="H13" i="2" s="1"/>
  <c r="Z13" i="2" s="1"/>
  <c r="Z12" i="2"/>
  <c r="M12" i="2"/>
  <c r="H12" i="2"/>
  <c r="M11" i="2"/>
  <c r="H11" i="2" s="1"/>
  <c r="Z11" i="2" s="1"/>
  <c r="M10" i="2"/>
  <c r="H10" i="2" s="1"/>
  <c r="Z10" i="2" s="1"/>
  <c r="M9" i="2"/>
  <c r="H9" i="2" s="1"/>
  <c r="Z9" i="2" s="1"/>
  <c r="M8" i="2"/>
  <c r="H8" i="2"/>
  <c r="Z8" i="2" s="1"/>
  <c r="Z20" i="2" s="1"/>
  <c r="M7" i="2"/>
  <c r="H7" i="2" s="1"/>
  <c r="Z7" i="2" s="1"/>
  <c r="M6" i="2"/>
  <c r="H6" i="2" s="1"/>
  <c r="Z6" i="2" s="1"/>
  <c r="M5" i="2"/>
  <c r="H5" i="2" s="1"/>
  <c r="Z5" i="2" s="1"/>
  <c r="H10" i="5" l="1"/>
  <c r="P10" i="5" s="1"/>
  <c r="H7" i="4"/>
  <c r="Z64" i="1"/>
  <c r="Z61" i="1"/>
  <c r="H41" i="1"/>
  <c r="Z41" i="1" s="1"/>
  <c r="H40" i="1"/>
  <c r="Z40" i="1" s="1"/>
  <c r="H36" i="1"/>
  <c r="Z36" i="1" s="1"/>
  <c r="H13" i="1"/>
  <c r="Z13" i="1" s="1"/>
  <c r="Z68" i="1" l="1"/>
  <c r="H68" i="1"/>
</calcChain>
</file>

<file path=xl/sharedStrings.xml><?xml version="1.0" encoding="utf-8"?>
<sst xmlns="http://schemas.openxmlformats.org/spreadsheetml/2006/main" count="673" uniqueCount="330">
  <si>
    <t>FARM</t>
  </si>
  <si>
    <t>POR</t>
  </si>
  <si>
    <t>SIZE OF</t>
  </si>
  <si>
    <t>CATEGORY</t>
  </si>
  <si>
    <t>SG CODE</t>
  </si>
  <si>
    <t>MARKET</t>
  </si>
  <si>
    <t>NAME OF</t>
  </si>
  <si>
    <t>TITLE DEED</t>
  </si>
  <si>
    <t>DATEOF</t>
  </si>
  <si>
    <t>SALE</t>
  </si>
  <si>
    <t>CARRYING</t>
  </si>
  <si>
    <t>VELD</t>
  </si>
  <si>
    <t>IRR</t>
  </si>
  <si>
    <t>HOUSE</t>
  </si>
  <si>
    <t>O-B</t>
  </si>
  <si>
    <t>SHEDS/LEAN TO'S</t>
  </si>
  <si>
    <t>STORES</t>
  </si>
  <si>
    <t>CHALETS/G-HOUSE/HOTEL</t>
  </si>
  <si>
    <t>POOLS</t>
  </si>
  <si>
    <t>CARPORT</t>
  </si>
  <si>
    <t>LAB HOUSES</t>
  </si>
  <si>
    <t>OTHER</t>
  </si>
  <si>
    <t>INTERIM</t>
  </si>
  <si>
    <t>SUB</t>
  </si>
  <si>
    <t>NR</t>
  </si>
  <si>
    <t>PORTION</t>
  </si>
  <si>
    <t>ADDRESS</t>
  </si>
  <si>
    <t>VALUE</t>
  </si>
  <si>
    <t>OWNER</t>
  </si>
  <si>
    <t>NUMBER</t>
  </si>
  <si>
    <t>PRICE</t>
  </si>
  <si>
    <t>CAPACITY</t>
  </si>
  <si>
    <t>LAND</t>
  </si>
  <si>
    <t xml:space="preserve"> </t>
  </si>
  <si>
    <t>2019/2020</t>
  </si>
  <si>
    <t xml:space="preserve">                                                               SOMERSET EAST FARMS : 2019/2020 INTERIM VALUATION</t>
  </si>
  <si>
    <t>IMPROVED</t>
  </si>
  <si>
    <t>CARPORTS</t>
  </si>
  <si>
    <t>POOL</t>
  </si>
  <si>
    <t>LEAN TO</t>
  </si>
  <si>
    <t>LODGE/CHALETS</t>
  </si>
  <si>
    <t>WIND TURBINES</t>
  </si>
  <si>
    <t xml:space="preserve">                                                                            BEDFORD FARMS : 2019/2020 INTERIM VALUATION</t>
  </si>
  <si>
    <t>ERF</t>
  </si>
  <si>
    <t>SHEDS</t>
  </si>
  <si>
    <t xml:space="preserve">Category </t>
  </si>
  <si>
    <t>change</t>
  </si>
  <si>
    <t>Lean-To</t>
  </si>
  <si>
    <t>CARR.</t>
  </si>
  <si>
    <t>NO.</t>
  </si>
  <si>
    <t>CAP.</t>
  </si>
  <si>
    <t xml:space="preserve">                                                                                                  PEARSTON FARMS : 2019/2020 INTERIM VALUATION</t>
  </si>
  <si>
    <t>SIZE</t>
  </si>
  <si>
    <t>VALUE-IMPR</t>
  </si>
  <si>
    <t>SALE DATE</t>
  </si>
  <si>
    <t>TRANS DATE</t>
  </si>
  <si>
    <t>IMPROVEMENTS</t>
  </si>
  <si>
    <t>AGRIC</t>
  </si>
  <si>
    <t>C01000000000004600003</t>
  </si>
  <si>
    <t>BOX 66, COOKHOUSE</t>
  </si>
  <si>
    <t>DRAAILAGTE PTY LTD</t>
  </si>
  <si>
    <t>T14879/2016</t>
  </si>
  <si>
    <t>Wysig grondbeskrywing en kategorie</t>
  </si>
  <si>
    <t>C01000000000004600004</t>
  </si>
  <si>
    <t>C01000000000004900001</t>
  </si>
  <si>
    <t>Wysig grondbeskrywing, tarief en kategorie</t>
  </si>
  <si>
    <t>AGRIC.</t>
  </si>
  <si>
    <t>P.O. WITMOS</t>
  </si>
  <si>
    <t>C01000000000004900006</t>
  </si>
  <si>
    <t xml:space="preserve"> VERMAAK WAE</t>
  </si>
  <si>
    <t>T6343/2018</t>
  </si>
  <si>
    <t xml:space="preserve">Wysig grondbeskrywing, tarief </t>
  </si>
  <si>
    <t>C01000000000004900007</t>
  </si>
  <si>
    <t>T12444/2018</t>
  </si>
  <si>
    <t>C01000000000006900000</t>
  </si>
  <si>
    <t>BOX 380, SOMERSET EAST</t>
  </si>
  <si>
    <t>LOTDAAN PTY LTD</t>
  </si>
  <si>
    <t>T44262/1981</t>
  </si>
  <si>
    <t>69/18 AFGESNY</t>
  </si>
  <si>
    <t>P.S.I.</t>
  </si>
  <si>
    <t>C01000000000006900018</t>
  </si>
  <si>
    <t>P/BAG X928 PRETORIA</t>
  </si>
  <si>
    <t>SA NATIONAL ROADS AGENCY LTD</t>
  </si>
  <si>
    <t>T24122/2005</t>
  </si>
  <si>
    <t>C01000000000016200007</t>
  </si>
  <si>
    <t>BOX 33, MIDDLETON</t>
  </si>
  <si>
    <t>MOOLMAN PROSPECT TRUST</t>
  </si>
  <si>
    <t>T93702/2007</t>
  </si>
  <si>
    <t>20070802</t>
  </si>
  <si>
    <t>Volstaan</t>
  </si>
  <si>
    <t>C01000000000016200009</t>
  </si>
  <si>
    <t>GAME</t>
  </si>
  <si>
    <t>C01000000000023900001</t>
  </si>
  <si>
    <t>P/BAG X27964, GREENACRES</t>
  </si>
  <si>
    <t>SHELVE WIZARD 11 CC</t>
  </si>
  <si>
    <t>T11412/2005</t>
  </si>
  <si>
    <t>Tarief aagepas</t>
  </si>
  <si>
    <t>C01000000000023900002</t>
  </si>
  <si>
    <t>C01000000000023900005</t>
  </si>
  <si>
    <t>TUSCAN MOOD 1170 CC</t>
  </si>
  <si>
    <t>T14577/2005</t>
  </si>
  <si>
    <t>30/8/2004</t>
  </si>
  <si>
    <t>C01000000000023900006</t>
  </si>
  <si>
    <t>C01000000000024800000</t>
  </si>
  <si>
    <t>28 KURLAND RD, PORT ELIZABETH</t>
  </si>
  <si>
    <t>SUTHERLAND PROP TRUST</t>
  </si>
  <si>
    <t>T37126/2011</t>
  </si>
  <si>
    <t>Volstaan met waardasie</t>
  </si>
  <si>
    <t>C01000000000024800001</t>
  </si>
  <si>
    <t>Afgesny van 69/0</t>
  </si>
  <si>
    <t>C05600000000011700000</t>
  </si>
  <si>
    <t>BOX 7671, WALMER, PE</t>
  </si>
  <si>
    <t>NEW HEIGHTS 1490 C C</t>
  </si>
  <si>
    <t>T2377/2008</t>
  </si>
  <si>
    <t>20071107</t>
  </si>
  <si>
    <t>CHALETS</t>
  </si>
  <si>
    <t>C05600000000013500000</t>
  </si>
  <si>
    <t>T2376/2008</t>
  </si>
  <si>
    <t xml:space="preserve">FARM 377 </t>
  </si>
  <si>
    <t>C02900000000037700001</t>
  </si>
  <si>
    <t>P O BOX 477 GRAAF REINET, 6280</t>
  </si>
  <si>
    <t>MARAIS F A J</t>
  </si>
  <si>
    <t>T9561/1911</t>
  </si>
  <si>
    <t>R</t>
  </si>
  <si>
    <t>19111211</t>
  </si>
  <si>
    <t xml:space="preserve">GROENE KLOOF 378 </t>
  </si>
  <si>
    <t>C02900000000037800001</t>
  </si>
  <si>
    <t>C02900000000037800007</t>
  </si>
  <si>
    <t>MARAIS FREDERICK ABRAHAM JACOBUS-TRUSTEES</t>
  </si>
  <si>
    <t>T4967/2013</t>
  </si>
  <si>
    <t>SECT 40</t>
  </si>
  <si>
    <t>19951122</t>
  </si>
  <si>
    <t xml:space="preserve">EDELDAM 380 </t>
  </si>
  <si>
    <t>C02900000000038000000</t>
  </si>
  <si>
    <t xml:space="preserve">MOOIBERG 381 </t>
  </si>
  <si>
    <t>C02900000000038100000</t>
  </si>
  <si>
    <t>GRAAFF REINET FARMS : 2019/2020 INTERIM VALUATION</t>
  </si>
  <si>
    <t>C06600000000007600041</t>
  </si>
  <si>
    <t>BOX 212, SOMERSET EAST</t>
  </si>
  <si>
    <t>GREAT FISH RIVER FARMING ENTERPRISES TRUST</t>
  </si>
  <si>
    <t>T46173/2016</t>
  </si>
  <si>
    <t>Wysig Tarief in lyn met aankoopprys</t>
  </si>
  <si>
    <t>C06600000000007600044</t>
  </si>
  <si>
    <t>C06600000000007600061</t>
  </si>
  <si>
    <t>C06600000000008700028</t>
  </si>
  <si>
    <t>BOX 537, KENTON ON SEA</t>
  </si>
  <si>
    <t>NUMBER TWO PIGGERIES PTY LTD</t>
  </si>
  <si>
    <t>T104174/2001</t>
  </si>
  <si>
    <t>87/137 afgesny</t>
  </si>
  <si>
    <t>C06600000000008700141</t>
  </si>
  <si>
    <t>P/BAG X928,PRETORIA</t>
  </si>
  <si>
    <t>SOUTH AFRICAN NATIONAL ROADS AGENCY LTD</t>
  </si>
  <si>
    <t>T52141/2003</t>
  </si>
  <si>
    <t>R933.00</t>
  </si>
  <si>
    <t>Afgesny van 87/28</t>
  </si>
  <si>
    <t>CCT</t>
  </si>
  <si>
    <t>C06600000000008800000</t>
  </si>
  <si>
    <t>22 GOMERY PLACE SUMMERSTRAND</t>
  </si>
  <si>
    <t>SPREEUWKLOOF BOERDERY PTY LTD</t>
  </si>
  <si>
    <t>T68609/2017</t>
  </si>
  <si>
    <t>Wysig grondbeskywing en tarief a.g.v. berg &amp; toegang</t>
  </si>
  <si>
    <t>C06600000000009200020</t>
  </si>
  <si>
    <t>BOX 370, SOMERSET EAST</t>
  </si>
  <si>
    <t>QUARRIELAAGTE FAMILY TRUST</t>
  </si>
  <si>
    <t>T27146/1998</t>
  </si>
  <si>
    <t>28/9/1995</t>
  </si>
  <si>
    <t>R627815.00</t>
  </si>
  <si>
    <t>Wysig grond beskrywing en skuif geboue na 378/0</t>
  </si>
  <si>
    <t>C06600000000012100004</t>
  </si>
  <si>
    <t>R1100000.00</t>
  </si>
  <si>
    <t>121/108 afgesy</t>
  </si>
  <si>
    <t>BUS</t>
  </si>
  <si>
    <t>C06600000000012100016</t>
  </si>
  <si>
    <t>BOX 2002,PORT ELIZABETH</t>
  </si>
  <si>
    <t>BKB LTD</t>
  </si>
  <si>
    <t>T18951/1976</t>
  </si>
  <si>
    <t>TOILET/SHOP/OFFICE</t>
  </si>
  <si>
    <t>Cell phone Tower - No add. Value</t>
  </si>
  <si>
    <t>C06600000000012100046</t>
  </si>
  <si>
    <t>BOX 21, GOLDEN VALLEY</t>
  </si>
  <si>
    <t>SLABBERT, Z.J. DE BEER</t>
  </si>
  <si>
    <t>T12614/1978</t>
  </si>
  <si>
    <t>DAIRY</t>
  </si>
  <si>
    <t>Ged. van Inlysting van 73.1 word elders gebruik(121/81,122/11, 122/18, 122/26</t>
  </si>
  <si>
    <t>RES</t>
  </si>
  <si>
    <t>C06600000000012100081</t>
  </si>
  <si>
    <t>Ged. Van inlysting van 121/46 hier</t>
  </si>
  <si>
    <t>C06600000000012100095</t>
  </si>
  <si>
    <t>OLTEN GOLDEN VALLEY</t>
  </si>
  <si>
    <t>VAN DER WESTHUIZEN TG</t>
  </si>
  <si>
    <t>T47249/2014</t>
  </si>
  <si>
    <t>12/07/2014</t>
  </si>
  <si>
    <t>Wysig grondbeskywing en tarief &amp; kategorie</t>
  </si>
  <si>
    <t>C06600000000012100108</t>
  </si>
  <si>
    <t>Afgesny van 121/4</t>
  </si>
  <si>
    <t>C06600000000012100113</t>
  </si>
  <si>
    <t>Afgesny van 121/9</t>
  </si>
  <si>
    <t>C06600000000012100115</t>
  </si>
  <si>
    <t>Afgesny van 121/68</t>
  </si>
  <si>
    <t>C06600000000012100117</t>
  </si>
  <si>
    <t>Afgesny van 121/82</t>
  </si>
  <si>
    <t>C06600000000012200011</t>
  </si>
  <si>
    <t>C06600000000012200018</t>
  </si>
  <si>
    <t>C06600000000012200026</t>
  </si>
  <si>
    <t>C06600000000012400002</t>
  </si>
  <si>
    <t>T93701/2007</t>
  </si>
  <si>
    <t>C06600000000016600001</t>
  </si>
  <si>
    <t>T99420/2007</t>
  </si>
  <si>
    <t>C06600000000021500000</t>
  </si>
  <si>
    <t>MOOLMAN, J.L.</t>
  </si>
  <si>
    <t>T12615/1994</t>
  </si>
  <si>
    <t>deel van groter eenheid. Wysig tarief</t>
  </si>
  <si>
    <t>C06600000000021600000</t>
  </si>
  <si>
    <t>SCHOOL</t>
  </si>
  <si>
    <t>C06600000000021900000</t>
  </si>
  <si>
    <t>BOX 113, NOUPOORT</t>
  </si>
  <si>
    <t>NOUPOORT CHRISTIAN CARE CENTRE</t>
  </si>
  <si>
    <t>T34618/2008</t>
  </si>
  <si>
    <t>20040430</t>
  </si>
  <si>
    <t>CENTRE</t>
  </si>
  <si>
    <t>Kategorie verandering</t>
  </si>
  <si>
    <t>C06600000000021900002</t>
  </si>
  <si>
    <t>BOX 256, SOMERSET EAST</t>
  </si>
  <si>
    <t>ADELBORS BELEGGINGS 9 PTY LTD</t>
  </si>
  <si>
    <t>T81308/2003</t>
  </si>
  <si>
    <t>14/2/2003</t>
  </si>
  <si>
    <t>Wysig grondbeskrywing en tarief</t>
  </si>
  <si>
    <t>C06600000000021900003</t>
  </si>
  <si>
    <t>BOX 318, SOMERSET EAST</t>
  </si>
  <si>
    <t>MUNICIPALITY CACDU DISTRICT</t>
  </si>
  <si>
    <t>T45887/2003</t>
  </si>
  <si>
    <t>219/9 Afgesny</t>
  </si>
  <si>
    <t>PRIVATE BAG X928, PRETORIA</t>
  </si>
  <si>
    <t>C06600000000021900009</t>
  </si>
  <si>
    <t>t15246/2019</t>
  </si>
  <si>
    <t>Afgesny va 219/3</t>
  </si>
  <si>
    <t>BOX 308, SOMERSET EAST</t>
  </si>
  <si>
    <t>KRITZINGER, W.</t>
  </si>
  <si>
    <t>Kons na 456/0</t>
  </si>
  <si>
    <t>SAFE FARM VENTURES PTY LTD</t>
  </si>
  <si>
    <t>Rest. Kons na 456/0</t>
  </si>
  <si>
    <t>C06600000000022600002</t>
  </si>
  <si>
    <t>C06600000000025000001</t>
  </si>
  <si>
    <t>BOX 181, SOMERSET EAST</t>
  </si>
  <si>
    <t>CHRIS GREEFF FAMILIE TRUST</t>
  </si>
  <si>
    <t>T29084/2013</t>
  </si>
  <si>
    <t>Nuwe woning</t>
  </si>
  <si>
    <t>C06600000000026300001</t>
  </si>
  <si>
    <t>BOX 15, KOMMADAGGA</t>
  </si>
  <si>
    <t>DANIE MOOLMAN FAMILY TRUST</t>
  </si>
  <si>
    <t>T42526/1996</t>
  </si>
  <si>
    <t>19/3/1996</t>
  </si>
  <si>
    <t>263/6 afgesny</t>
  </si>
  <si>
    <t>C06600000000026300006</t>
  </si>
  <si>
    <t>Afgesny van 263/1</t>
  </si>
  <si>
    <t>C06600000000026600007</t>
  </si>
  <si>
    <t>266/15 afgesny</t>
  </si>
  <si>
    <t>BOX 13, KOMMADAGGA</t>
  </si>
  <si>
    <t>TRUTER, J.J.A.</t>
  </si>
  <si>
    <t>S A NATIONAL ROADS AGENCY LTD</t>
  </si>
  <si>
    <t>C06600000000026600014</t>
  </si>
  <si>
    <t>Afgesny van 266/7</t>
  </si>
  <si>
    <t>C06600000000029200000</t>
  </si>
  <si>
    <t>BOX 13285, HUMEWOOD</t>
  </si>
  <si>
    <t>INQO PROP PTY LTD</t>
  </si>
  <si>
    <t>T60180/2000</t>
  </si>
  <si>
    <t>Aanbouings</t>
  </si>
  <si>
    <t>C06600000000031000001</t>
  </si>
  <si>
    <t>BOX 285, PE</t>
  </si>
  <si>
    <t>CAPE SUD HOLDINGS</t>
  </si>
  <si>
    <t>T74815/2008</t>
  </si>
  <si>
    <t>20081008</t>
  </si>
  <si>
    <t>Nuwe wonings</t>
  </si>
  <si>
    <t>C06600000000031300002</t>
  </si>
  <si>
    <t>BOX 79, PATTERSON</t>
  </si>
  <si>
    <t>BROWNE, C.E.J.</t>
  </si>
  <si>
    <t>T28629/1984</t>
  </si>
  <si>
    <t>Korrigeer Oppvl.</t>
  </si>
  <si>
    <t>C06600000000032800002</t>
  </si>
  <si>
    <t>BOX 389, SOMERSET EAST</t>
  </si>
  <si>
    <t>GREEFF, C.J.M.</t>
  </si>
  <si>
    <t>T1435/1968</t>
  </si>
  <si>
    <t>C06600000000036900000</t>
  </si>
  <si>
    <t>VERDUN FARM TRUST</t>
  </si>
  <si>
    <t>T595/2018</t>
  </si>
  <si>
    <t>C06600000000037800000</t>
  </si>
  <si>
    <t>Wysig grondbeskrywing &amp; skuif geboue hierheen.</t>
  </si>
  <si>
    <t>C06600000000038100000</t>
  </si>
  <si>
    <t>C06600000000038100001</t>
  </si>
  <si>
    <t>T81309/2003</t>
  </si>
  <si>
    <t>14/7/2003</t>
  </si>
  <si>
    <t>C06600000000038100002</t>
  </si>
  <si>
    <t>C06600000000038100003</t>
  </si>
  <si>
    <t>C06600000000038100006</t>
  </si>
  <si>
    <t>C06600000000038100007</t>
  </si>
  <si>
    <t>C06600000000038100008</t>
  </si>
  <si>
    <t>C06600000000038100009</t>
  </si>
  <si>
    <t>C06600000000038500002</t>
  </si>
  <si>
    <t>C06600000000038500004</t>
  </si>
  <si>
    <t>C06600000000040900000</t>
  </si>
  <si>
    <t>0(a)</t>
  </si>
  <si>
    <t>Gastehuis nie meer in bedryf nie</t>
  </si>
  <si>
    <t>C06600000000040900001</t>
  </si>
  <si>
    <t>T81310/2003</t>
  </si>
  <si>
    <t>C06600000000040900002</t>
  </si>
  <si>
    <t>C06600000000041000001</t>
  </si>
  <si>
    <t>BOX 5518, TIGER VALLEY, CPT</t>
  </si>
  <si>
    <t>BRAKRIVIER TRUST</t>
  </si>
  <si>
    <t>C06600000000044800000</t>
  </si>
  <si>
    <t>BOX 49, DESPATCH</t>
  </si>
  <si>
    <t>INTLOKO YE NDLOVU HUNTING SAFARIS C C</t>
  </si>
  <si>
    <t>T95230/2006</t>
  </si>
  <si>
    <t>C06600000000045600000</t>
  </si>
  <si>
    <t>KRITZINGER, W</t>
  </si>
  <si>
    <t>CCT8818/2019</t>
  </si>
  <si>
    <t>Kons 226/1 &amp; 226/2(res)</t>
  </si>
  <si>
    <t>Vorm deel van groter eenheid buite Mun. grense</t>
  </si>
  <si>
    <t>C06600000000043600000</t>
  </si>
  <si>
    <t>T3030/2005</t>
  </si>
  <si>
    <t>436/1 Afgesny</t>
  </si>
  <si>
    <t>PSI</t>
  </si>
  <si>
    <t>C06600000000043600001</t>
  </si>
  <si>
    <t>Afgesny van 436/0</t>
  </si>
  <si>
    <t>C06600000000044700000</t>
  </si>
  <si>
    <t>BOX 7827, NEWTOWN PARK</t>
  </si>
  <si>
    <t>COMPANIES DRIFT FARMING TRUST</t>
  </si>
  <si>
    <t>T177812015</t>
  </si>
  <si>
    <t>447/1 Afgesny</t>
  </si>
  <si>
    <t>C06600000000044700001</t>
  </si>
  <si>
    <t>Afgesny van 447/0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</si>
</sst>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_);_(&quot;$&quot;* \(#,##0\);_(&quot;$&quot;* &quot;-&quot;_);_(@_)"/>
    <numFmt numFmtId="165" formatCode="#,##0.0000"/>
    <numFmt numFmtId="166" formatCode="[$R-436]#,##0"/>
    <numFmt numFmtId="167" formatCode="&quot;R&quot;\ #,##0"/>
    <numFmt numFmtId="168" formatCode="[$R-1C09]#,##0"/>
    <numFmt numFmtId="169" formatCode="0.0000"/>
    <numFmt numFmtId="170" formatCode="&quot;R&quot;\ #,##0.00;[Red]&quot;R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63">
    <xf numFmtId="0" fontId="0" fillId="0" borderId="0" xfId="0"/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/>
    <xf numFmtId="165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66" fontId="3" fillId="0" borderId="1" xfId="1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6" fontId="5" fillId="0" borderId="1" xfId="1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4" fillId="0" borderId="3" xfId="0" applyFont="1" applyFill="1" applyBorder="1" applyAlignment="1"/>
    <xf numFmtId="165" fontId="4" fillId="0" borderId="3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right"/>
    </xf>
    <xf numFmtId="167" fontId="3" fillId="0" borderId="1" xfId="1" applyNumberFormat="1" applyFont="1" applyFill="1" applyBorder="1" applyAlignment="1">
      <alignment horizontal="center"/>
    </xf>
    <xf numFmtId="167" fontId="5" fillId="0" borderId="1" xfId="1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/>
    </xf>
    <xf numFmtId="0" fontId="3" fillId="0" borderId="1" xfId="0" quotePrefix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67" fontId="3" fillId="0" borderId="1" xfId="0" quotePrefix="1" applyNumberFormat="1" applyFont="1" applyFill="1" applyBorder="1" applyAlignment="1">
      <alignment horizontal="center"/>
    </xf>
    <xf numFmtId="0" fontId="0" fillId="0" borderId="0" xfId="0" applyFill="1" applyAlignment="1">
      <alignment horizontal="center" wrapText="1"/>
    </xf>
    <xf numFmtId="14" fontId="3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2" fillId="0" borderId="0" xfId="0" applyFont="1"/>
    <xf numFmtId="166" fontId="9" fillId="0" borderId="0" xfId="0" applyNumberFormat="1" applyFont="1"/>
    <xf numFmtId="0" fontId="6" fillId="0" borderId="1" xfId="0" applyFont="1" applyFill="1" applyBorder="1" applyAlignment="1"/>
    <xf numFmtId="169" fontId="4" fillId="0" borderId="1" xfId="0" applyNumberFormat="1" applyFont="1" applyFill="1" applyBorder="1" applyAlignment="1">
      <alignment horizontal="right"/>
    </xf>
    <xf numFmtId="168" fontId="4" fillId="0" borderId="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center"/>
    </xf>
    <xf numFmtId="169" fontId="5" fillId="0" borderId="1" xfId="0" applyNumberFormat="1" applyFont="1" applyFill="1" applyBorder="1" applyAlignment="1">
      <alignment horizontal="center"/>
    </xf>
    <xf numFmtId="168" fontId="5" fillId="0" borderId="1" xfId="1" applyNumberFormat="1" applyFont="1" applyFill="1" applyBorder="1" applyAlignment="1">
      <alignment horizontal="center"/>
    </xf>
    <xf numFmtId="169" fontId="3" fillId="0" borderId="1" xfId="0" applyNumberFormat="1" applyFont="1" applyFill="1" applyBorder="1" applyAlignment="1">
      <alignment horizontal="right"/>
    </xf>
    <xf numFmtId="168" fontId="3" fillId="0" borderId="1" xfId="1" applyNumberFormat="1" applyFont="1" applyFill="1" applyBorder="1" applyAlignment="1">
      <alignment horizontal="right"/>
    </xf>
    <xf numFmtId="166" fontId="3" fillId="0" borderId="1" xfId="0" quotePrefix="1" applyNumberFormat="1" applyFont="1" applyFill="1" applyBorder="1" applyAlignment="1">
      <alignment horizontal="center"/>
    </xf>
    <xf numFmtId="0" fontId="0" fillId="0" borderId="0" xfId="0" applyFill="1"/>
    <xf numFmtId="168" fontId="6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165" fontId="3" fillId="0" borderId="1" xfId="0" quotePrefix="1" applyNumberFormat="1" applyFont="1" applyFill="1" applyBorder="1" applyAlignment="1">
      <alignment horizontal="right"/>
    </xf>
    <xf numFmtId="170" fontId="3" fillId="0" borderId="1" xfId="2" quotePrefix="1" applyNumberFormat="1" applyFont="1" applyFill="1" applyBorder="1" applyAlignment="1">
      <alignment horizontal="center"/>
    </xf>
    <xf numFmtId="0" fontId="3" fillId="0" borderId="1" xfId="0" quotePrefix="1" applyNumberFormat="1" applyFont="1" applyFill="1" applyBorder="1" applyAlignment="1">
      <alignment horizontal="right"/>
    </xf>
    <xf numFmtId="0" fontId="8" fillId="0" borderId="0" xfId="0" applyFont="1" applyFill="1"/>
    <xf numFmtId="0" fontId="3" fillId="0" borderId="1" xfId="2" quotePrefix="1" applyNumberFormat="1" applyFont="1" applyFill="1" applyBorder="1" applyAlignment="1">
      <alignment horizontal="center"/>
    </xf>
    <xf numFmtId="166" fontId="3" fillId="0" borderId="1" xfId="2" quotePrefix="1" applyNumberFormat="1" applyFont="1" applyFill="1" applyBorder="1" applyAlignment="1">
      <alignment horizontal="right"/>
    </xf>
    <xf numFmtId="166" fontId="3" fillId="0" borderId="1" xfId="0" quotePrefix="1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8" fontId="0" fillId="0" borderId="0" xfId="0" applyNumberFormat="1" applyFill="1"/>
    <xf numFmtId="166" fontId="0" fillId="0" borderId="0" xfId="0" applyNumberFormat="1" applyFill="1"/>
    <xf numFmtId="166" fontId="6" fillId="0" borderId="4" xfId="0" applyNumberFormat="1" applyFont="1" applyFill="1" applyBorder="1" applyAlignment="1">
      <alignment horizontal="center"/>
    </xf>
    <xf numFmtId="168" fontId="9" fillId="0" borderId="0" xfId="0" applyNumberFormat="1" applyFont="1" applyFill="1"/>
    <xf numFmtId="0" fontId="6" fillId="0" borderId="0" xfId="0" applyFont="1" applyFill="1" applyBorder="1" applyAlignment="1">
      <alignment horizontal="left"/>
    </xf>
    <xf numFmtId="0" fontId="2" fillId="0" borderId="0" xfId="0" applyFont="1" applyFill="1"/>
    <xf numFmtId="166" fontId="9" fillId="0" borderId="0" xfId="0" applyNumberFormat="1" applyFont="1" applyFill="1"/>
  </cellXfs>
  <cellStyles count="3">
    <cellStyle name="Currency [0]" xfId="1" builtinId="7"/>
    <cellStyle name="Normal" xfId="0" builtinId="0"/>
    <cellStyle name="Normal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"/>
  <sheetViews>
    <sheetView tabSelected="1" workbookViewId="0"/>
  </sheetViews>
  <sheetFormatPr defaultRowHeight="14.4" x14ac:dyDescent="0.3"/>
  <cols>
    <col min="4" max="4" width="10.109375" bestFit="1" customWidth="1"/>
    <col min="5" max="5" width="11.109375" bestFit="1" customWidth="1"/>
    <col min="6" max="6" width="22.6640625" bestFit="1" customWidth="1"/>
    <col min="7" max="7" width="32.6640625" bestFit="1" customWidth="1"/>
    <col min="8" max="8" width="11.44140625" bestFit="1" customWidth="1"/>
    <col min="9" max="9" width="33.33203125" bestFit="1" customWidth="1"/>
    <col min="10" max="10" width="11.5546875" bestFit="1" customWidth="1"/>
    <col min="12" max="12" width="12" bestFit="1" customWidth="1"/>
    <col min="13" max="13" width="10.109375" bestFit="1" customWidth="1"/>
    <col min="16" max="16" width="4.33203125" bestFit="1" customWidth="1"/>
    <col min="17" max="17" width="11.33203125" bestFit="1" customWidth="1"/>
    <col min="21" max="21" width="13.109375" bestFit="1" customWidth="1"/>
    <col min="24" max="24" width="16.6640625" bestFit="1" customWidth="1"/>
    <col min="25" max="25" width="16" bestFit="1" customWidth="1"/>
    <col min="26" max="26" width="11.44140625" style="33" bestFit="1" customWidth="1"/>
    <col min="27" max="31" width="9.109375" style="33"/>
  </cols>
  <sheetData>
    <row r="1" spans="1:31" s="5" customFormat="1" ht="17.399999999999999" x14ac:dyDescent="0.3">
      <c r="A1" s="17"/>
      <c r="B1" s="18" t="s">
        <v>42</v>
      </c>
      <c r="C1" s="19"/>
      <c r="D1" s="20"/>
      <c r="E1" s="19"/>
      <c r="F1" s="19"/>
      <c r="G1" s="19"/>
      <c r="H1" s="21"/>
      <c r="I1" s="19"/>
      <c r="L1" s="22"/>
      <c r="M1" s="7"/>
      <c r="Z1" s="30"/>
      <c r="AA1" s="15"/>
      <c r="AB1" s="30"/>
      <c r="AC1" s="30"/>
      <c r="AD1" s="30"/>
      <c r="AE1" s="30"/>
    </row>
    <row r="2" spans="1:31" s="10" customFormat="1" ht="13.2" x14ac:dyDescent="0.25">
      <c r="B2" s="10" t="s">
        <v>0</v>
      </c>
      <c r="C2" s="10" t="s">
        <v>25</v>
      </c>
      <c r="D2" s="11" t="s">
        <v>2</v>
      </c>
      <c r="E2" s="10" t="s">
        <v>3</v>
      </c>
      <c r="F2" s="10" t="s">
        <v>4</v>
      </c>
      <c r="G2" s="10" t="s">
        <v>26</v>
      </c>
      <c r="H2" s="12" t="s">
        <v>36</v>
      </c>
      <c r="I2" s="10" t="s">
        <v>6</v>
      </c>
      <c r="J2" s="10" t="s">
        <v>7</v>
      </c>
      <c r="K2" s="10" t="s">
        <v>8</v>
      </c>
      <c r="L2" s="23" t="s">
        <v>9</v>
      </c>
      <c r="M2" s="11" t="s">
        <v>11</v>
      </c>
      <c r="N2" s="10" t="s">
        <v>12</v>
      </c>
      <c r="O2" s="10" t="s">
        <v>13</v>
      </c>
      <c r="P2" s="10" t="s">
        <v>14</v>
      </c>
      <c r="Q2" s="10" t="s">
        <v>37</v>
      </c>
      <c r="R2" s="10" t="s">
        <v>16</v>
      </c>
      <c r="T2" s="10" t="s">
        <v>21</v>
      </c>
      <c r="U2" s="10" t="s">
        <v>20</v>
      </c>
      <c r="V2" s="10" t="s">
        <v>38</v>
      </c>
      <c r="W2" s="10" t="s">
        <v>39</v>
      </c>
      <c r="X2" s="10" t="s">
        <v>40</v>
      </c>
      <c r="Y2" s="10" t="s">
        <v>41</v>
      </c>
      <c r="Z2" s="15" t="s">
        <v>22</v>
      </c>
      <c r="AA2" s="15"/>
      <c r="AB2" s="15"/>
      <c r="AC2" s="15"/>
      <c r="AD2" s="15"/>
      <c r="AE2" s="15"/>
    </row>
    <row r="3" spans="1:31" s="10" customFormat="1" ht="13.2" x14ac:dyDescent="0.25">
      <c r="A3" s="10" t="s">
        <v>23</v>
      </c>
      <c r="B3" s="10" t="s">
        <v>29</v>
      </c>
      <c r="C3" s="10" t="s">
        <v>29</v>
      </c>
      <c r="D3" s="11" t="s">
        <v>25</v>
      </c>
      <c r="H3" s="12" t="s">
        <v>27</v>
      </c>
      <c r="I3" s="10" t="s">
        <v>28</v>
      </c>
      <c r="J3" s="10" t="s">
        <v>29</v>
      </c>
      <c r="K3" s="10" t="s">
        <v>9</v>
      </c>
      <c r="L3" s="23" t="s">
        <v>30</v>
      </c>
      <c r="M3" s="7"/>
      <c r="N3" s="10" t="s">
        <v>32</v>
      </c>
      <c r="O3" s="5"/>
      <c r="P3" s="5"/>
      <c r="Q3" s="5"/>
      <c r="R3" s="5"/>
      <c r="S3" s="5"/>
      <c r="T3" s="5"/>
      <c r="Z3" s="15" t="s">
        <v>34</v>
      </c>
      <c r="AA3" s="15"/>
      <c r="AB3" s="15"/>
      <c r="AC3" s="15"/>
      <c r="AD3" s="15"/>
      <c r="AE3" s="15"/>
    </row>
    <row r="5" spans="1:31" s="5" customFormat="1" ht="13.2" x14ac:dyDescent="0.25">
      <c r="A5" s="10">
        <v>19</v>
      </c>
      <c r="B5" s="5">
        <v>46</v>
      </c>
      <c r="C5" s="5">
        <v>3</v>
      </c>
      <c r="D5" s="7">
        <v>0.54259999999999997</v>
      </c>
      <c r="E5" s="5" t="s">
        <v>57</v>
      </c>
      <c r="F5" s="5" t="s">
        <v>58</v>
      </c>
      <c r="G5" s="5" t="s">
        <v>59</v>
      </c>
      <c r="H5" s="6">
        <f>ROUND((N5*275000)+(M5*3000)+(O5*2650)+(P5*840)+(Q5*500)*(R5*840)+(T5*1450)+(U5*670)+(V5*1300)+(W5*420)+(X5*2650),-3)</f>
        <v>2000</v>
      </c>
      <c r="I5" s="25" t="s">
        <v>60</v>
      </c>
      <c r="J5" s="25" t="s">
        <v>61</v>
      </c>
      <c r="K5" s="25">
        <v>20160314</v>
      </c>
      <c r="L5" s="22">
        <v>6000000</v>
      </c>
      <c r="M5" s="7">
        <f t="shared" ref="M5:M13" si="0">D5-N5</f>
        <v>0.54259999999999997</v>
      </c>
      <c r="N5" s="5">
        <v>0</v>
      </c>
      <c r="Z5" s="31">
        <f t="shared" ref="Z5:Z6" si="1">+H5</f>
        <v>2000</v>
      </c>
      <c r="AA5" s="35" t="s">
        <v>62</v>
      </c>
      <c r="AB5" s="30"/>
      <c r="AC5" s="30"/>
      <c r="AD5" s="30"/>
      <c r="AE5" s="30"/>
    </row>
    <row r="6" spans="1:31" s="5" customFormat="1" ht="13.2" x14ac:dyDescent="0.25">
      <c r="A6" s="10">
        <v>19</v>
      </c>
      <c r="B6" s="5">
        <v>46</v>
      </c>
      <c r="C6" s="5">
        <v>4</v>
      </c>
      <c r="D6" s="7">
        <v>1.1035999999999999</v>
      </c>
      <c r="E6" s="5" t="s">
        <v>57</v>
      </c>
      <c r="F6" s="5" t="s">
        <v>63</v>
      </c>
      <c r="G6" s="5" t="s">
        <v>59</v>
      </c>
      <c r="H6" s="6">
        <f>ROUND((N6*200000)+(M6*3000)+(O6*2650)+(P6*840)+(Q6*500)*(R6*840)+(T6*1450)+(U6*670)+(V6*1300)+(W6*420)+(X6*2650),-3)</f>
        <v>3000</v>
      </c>
      <c r="I6" s="25" t="s">
        <v>60</v>
      </c>
      <c r="J6" s="25" t="s">
        <v>61</v>
      </c>
      <c r="K6" s="25">
        <v>20160314</v>
      </c>
      <c r="L6" s="22">
        <v>6000000</v>
      </c>
      <c r="M6" s="7">
        <f t="shared" si="0"/>
        <v>1.1035999999999999</v>
      </c>
      <c r="N6" s="5">
        <v>0</v>
      </c>
      <c r="Z6" s="31">
        <f t="shared" si="1"/>
        <v>3000</v>
      </c>
      <c r="AA6" s="35" t="s">
        <v>62</v>
      </c>
      <c r="AB6" s="30"/>
      <c r="AC6" s="30"/>
      <c r="AD6" s="30"/>
      <c r="AE6" s="30"/>
    </row>
    <row r="7" spans="1:31" s="5" customFormat="1" ht="13.2" x14ac:dyDescent="0.25">
      <c r="A7" s="10">
        <v>19</v>
      </c>
      <c r="B7" s="5">
        <v>49</v>
      </c>
      <c r="C7" s="5">
        <v>1</v>
      </c>
      <c r="D7" s="7">
        <v>109.8257</v>
      </c>
      <c r="E7" s="5" t="s">
        <v>57</v>
      </c>
      <c r="F7" s="5" t="s">
        <v>64</v>
      </c>
      <c r="G7" s="5" t="s">
        <v>59</v>
      </c>
      <c r="H7" s="6">
        <f>ROUND((N7*200000)+(M7*1000)+(O7*2650)+(P7*840)+(Q7*500)*(R7*840)+(T7*2650)+(U7*670)+(V7*1300)+(W7*420)+(X7*2650),-3)</f>
        <v>6618000</v>
      </c>
      <c r="I7" s="5" t="s">
        <v>60</v>
      </c>
      <c r="J7" s="5" t="s">
        <v>61</v>
      </c>
      <c r="K7" s="5">
        <v>20160314</v>
      </c>
      <c r="L7" s="22">
        <v>6000000</v>
      </c>
      <c r="M7" s="7">
        <f t="shared" si="0"/>
        <v>79.825699999999998</v>
      </c>
      <c r="N7" s="5">
        <v>30</v>
      </c>
      <c r="O7" s="5">
        <v>203</v>
      </c>
      <c r="Q7" s="5">
        <v>116</v>
      </c>
      <c r="Z7" s="31">
        <f>+H7</f>
        <v>6618000</v>
      </c>
      <c r="AA7" s="35" t="s">
        <v>65</v>
      </c>
      <c r="AB7" s="30"/>
      <c r="AC7" s="30"/>
      <c r="AD7" s="30"/>
      <c r="AE7" s="30"/>
    </row>
    <row r="8" spans="1:31" s="5" customFormat="1" ht="12.75" customHeight="1" x14ac:dyDescent="0.25">
      <c r="A8" s="10">
        <v>19</v>
      </c>
      <c r="B8" s="5">
        <v>49</v>
      </c>
      <c r="C8" s="5">
        <v>6</v>
      </c>
      <c r="D8" s="7">
        <v>51.591999999999999</v>
      </c>
      <c r="E8" s="5" t="s">
        <v>66</v>
      </c>
      <c r="F8" s="5" t="s">
        <v>68</v>
      </c>
      <c r="G8" s="5" t="s">
        <v>67</v>
      </c>
      <c r="H8" s="6">
        <f xml:space="preserve"> ROUND((N8*250000)+(M8*1000)+(O8*2650)+(P8*840)+(R8*840)+(T8*1400)+(U8*670)+(V8*1300)+(W8*420)+(X8*2650),-3)</f>
        <v>13440000</v>
      </c>
      <c r="I8" s="25" t="s">
        <v>69</v>
      </c>
      <c r="J8" s="26" t="s">
        <v>70</v>
      </c>
      <c r="K8" s="25"/>
      <c r="L8" s="27">
        <v>13000000</v>
      </c>
      <c r="M8" s="7">
        <f t="shared" si="0"/>
        <v>1.5919999999999987</v>
      </c>
      <c r="N8" s="5">
        <v>50</v>
      </c>
      <c r="O8" s="5">
        <v>250</v>
      </c>
      <c r="P8" s="5">
        <v>112</v>
      </c>
      <c r="R8" s="5">
        <v>108</v>
      </c>
      <c r="W8" s="5">
        <v>216</v>
      </c>
      <c r="Z8" s="31">
        <f t="shared" ref="Z8:Z9" si="2">+H8</f>
        <v>13440000</v>
      </c>
      <c r="AA8" s="35" t="s">
        <v>71</v>
      </c>
      <c r="AB8" s="30"/>
      <c r="AC8" s="30"/>
      <c r="AD8" s="30"/>
      <c r="AE8" s="30"/>
    </row>
    <row r="9" spans="1:31" s="5" customFormat="1" ht="12.75" customHeight="1" x14ac:dyDescent="0.3">
      <c r="A9" s="10">
        <v>19</v>
      </c>
      <c r="B9" s="5">
        <v>49</v>
      </c>
      <c r="C9" s="5">
        <v>7</v>
      </c>
      <c r="D9" s="7">
        <v>1282.3015</v>
      </c>
      <c r="E9" s="5" t="s">
        <v>66</v>
      </c>
      <c r="F9" s="5" t="s">
        <v>72</v>
      </c>
      <c r="G9" s="5" t="s">
        <v>59</v>
      </c>
      <c r="H9" s="6">
        <f>ROUND((N9*200000)+(M9*1000)+(O9*2650)+(P9*840)+(Q9*500)*(R9*840)+(T9*2650)+(U9*670)+(V9*1300)+(W9*420)+(X9*2650),-3)</f>
        <v>31970000</v>
      </c>
      <c r="I9" s="25" t="s">
        <v>69</v>
      </c>
      <c r="J9" s="28" t="s">
        <v>73</v>
      </c>
      <c r="L9" s="27">
        <v>29000000</v>
      </c>
      <c r="M9" s="7">
        <f t="shared" si="0"/>
        <v>1130.9014999999999</v>
      </c>
      <c r="N9" s="5">
        <v>151.4</v>
      </c>
      <c r="O9" s="5">
        <v>180</v>
      </c>
      <c r="R9" s="5">
        <v>187</v>
      </c>
      <c r="W9" s="5">
        <v>195</v>
      </c>
      <c r="Z9" s="31">
        <f t="shared" si="2"/>
        <v>31970000</v>
      </c>
      <c r="AA9" s="35" t="s">
        <v>71</v>
      </c>
      <c r="AB9" s="30"/>
      <c r="AC9" s="30"/>
      <c r="AD9" s="30"/>
      <c r="AE9" s="30"/>
    </row>
    <row r="10" spans="1:31" s="5" customFormat="1" ht="13.2" x14ac:dyDescent="0.25">
      <c r="A10" s="10">
        <v>19</v>
      </c>
      <c r="B10" s="5">
        <v>69</v>
      </c>
      <c r="C10" s="5">
        <v>0</v>
      </c>
      <c r="D10" s="7">
        <v>1693.9749999999999</v>
      </c>
      <c r="E10" s="5" t="s">
        <v>57</v>
      </c>
      <c r="F10" s="5" t="s">
        <v>74</v>
      </c>
      <c r="G10" s="5" t="s">
        <v>75</v>
      </c>
      <c r="H10" s="6">
        <f>ROUND((N10*275000)+(M10*3460)+(O10*2650)+(P10*840)+(Q10*500)*(R10*840)+(T10*2650)+(U10*670)+(V10*1300)+(W10*420)+(X10*2650),-3)</f>
        <v>13339000</v>
      </c>
      <c r="I10" s="5" t="s">
        <v>76</v>
      </c>
      <c r="J10" s="5" t="s">
        <v>77</v>
      </c>
      <c r="L10" s="22"/>
      <c r="M10" s="7">
        <f t="shared" si="0"/>
        <v>1672.2749999999999</v>
      </c>
      <c r="N10" s="5">
        <v>21.7</v>
      </c>
      <c r="O10" s="5">
        <v>534</v>
      </c>
      <c r="P10" s="5">
        <v>203</v>
      </c>
      <c r="Z10" s="31">
        <f t="shared" ref="Z10:Z17" si="3">+H10</f>
        <v>13339000</v>
      </c>
      <c r="AA10" s="35" t="s">
        <v>78</v>
      </c>
      <c r="AB10" s="30"/>
      <c r="AC10" s="30"/>
      <c r="AD10" s="30"/>
      <c r="AE10" s="30"/>
    </row>
    <row r="11" spans="1:31" s="5" customFormat="1" ht="13.2" x14ac:dyDescent="0.25">
      <c r="A11" s="10">
        <v>25</v>
      </c>
      <c r="B11" s="5">
        <v>69</v>
      </c>
      <c r="C11" s="5">
        <v>18</v>
      </c>
      <c r="D11" s="7">
        <v>7.2074999999999996</v>
      </c>
      <c r="E11" s="5" t="s">
        <v>79</v>
      </c>
      <c r="F11" s="5" t="s">
        <v>80</v>
      </c>
      <c r="G11" s="5" t="s">
        <v>81</v>
      </c>
      <c r="H11" s="6">
        <f>ROUND((M11*600),-2)</f>
        <v>4300</v>
      </c>
      <c r="I11" s="25" t="s">
        <v>82</v>
      </c>
      <c r="J11" s="5" t="s">
        <v>83</v>
      </c>
      <c r="L11" s="22"/>
      <c r="M11" s="7">
        <f t="shared" si="0"/>
        <v>7.2074999999999996</v>
      </c>
      <c r="N11" s="5">
        <v>0</v>
      </c>
      <c r="Z11" s="31">
        <f t="shared" si="3"/>
        <v>4300</v>
      </c>
      <c r="AA11" s="35" t="s">
        <v>109</v>
      </c>
      <c r="AB11" s="30"/>
      <c r="AC11" s="30"/>
      <c r="AD11" s="30"/>
      <c r="AE11" s="30"/>
    </row>
    <row r="12" spans="1:31" s="5" customFormat="1" ht="13.2" x14ac:dyDescent="0.25">
      <c r="A12" s="10">
        <v>19</v>
      </c>
      <c r="B12" s="5">
        <v>162</v>
      </c>
      <c r="C12" s="5">
        <v>7</v>
      </c>
      <c r="D12" s="7">
        <v>11.7773</v>
      </c>
      <c r="E12" s="5" t="s">
        <v>66</v>
      </c>
      <c r="F12" s="5" t="s">
        <v>84</v>
      </c>
      <c r="G12" s="5" t="s">
        <v>85</v>
      </c>
      <c r="H12" s="6">
        <f>ROUND((N12*275000)+(M12*3000)+(O12*2650)+(P12*840)+(Q12*500)*(R12*840)+(T12*840)+(U12*670)+(V12*1300)+(W12*420)+(X12*2650),-3)</f>
        <v>3510000</v>
      </c>
      <c r="I12" s="25" t="s">
        <v>86</v>
      </c>
      <c r="J12" s="25" t="s">
        <v>87</v>
      </c>
      <c r="K12" s="25" t="s">
        <v>88</v>
      </c>
      <c r="L12" s="27">
        <v>238000</v>
      </c>
      <c r="M12" s="7">
        <f t="shared" si="0"/>
        <v>0.77730000000000032</v>
      </c>
      <c r="N12" s="5">
        <v>11</v>
      </c>
      <c r="O12" s="5">
        <v>132</v>
      </c>
      <c r="P12" s="5">
        <v>62</v>
      </c>
      <c r="R12" s="5">
        <v>116</v>
      </c>
      <c r="U12" s="5">
        <v>120</v>
      </c>
      <c r="Z12" s="31">
        <f t="shared" si="3"/>
        <v>3510000</v>
      </c>
      <c r="AA12" s="35" t="s">
        <v>89</v>
      </c>
      <c r="AB12" s="30"/>
      <c r="AC12" s="30"/>
      <c r="AD12" s="30"/>
      <c r="AE12" s="30"/>
    </row>
    <row r="13" spans="1:31" s="5" customFormat="1" ht="13.2" x14ac:dyDescent="0.25">
      <c r="A13" s="10">
        <v>19</v>
      </c>
      <c r="B13" s="5">
        <v>162</v>
      </c>
      <c r="C13" s="5">
        <v>9</v>
      </c>
      <c r="D13" s="7">
        <v>6.4695999999999998</v>
      </c>
      <c r="E13" s="5" t="s">
        <v>66</v>
      </c>
      <c r="F13" s="5" t="s">
        <v>90</v>
      </c>
      <c r="G13" s="5" t="s">
        <v>85</v>
      </c>
      <c r="H13" s="6">
        <f>ROUND((N13*275000)+(M13*3000)+(O13*2650)+(P13*840)+(Q13*500)*(R13*840)+(T13*840)+(U13*670)+(V13*1300)+(W13*420)+(X13*2650),-3)</f>
        <v>1651000</v>
      </c>
      <c r="I13" s="25" t="s">
        <v>86</v>
      </c>
      <c r="J13" s="25" t="s">
        <v>87</v>
      </c>
      <c r="K13" s="25" t="s">
        <v>88</v>
      </c>
      <c r="L13" s="27">
        <v>238000</v>
      </c>
      <c r="M13" s="7">
        <f t="shared" si="0"/>
        <v>0.4695999999999998</v>
      </c>
      <c r="N13" s="5">
        <v>6</v>
      </c>
      <c r="Z13" s="31">
        <f t="shared" si="3"/>
        <v>1651000</v>
      </c>
      <c r="AA13" s="35" t="s">
        <v>89</v>
      </c>
      <c r="AB13" s="30"/>
      <c r="AC13" s="30"/>
      <c r="AD13" s="30"/>
      <c r="AE13" s="30"/>
    </row>
    <row r="14" spans="1:31" s="5" customFormat="1" ht="13.2" x14ac:dyDescent="0.25">
      <c r="A14" s="10">
        <v>19</v>
      </c>
      <c r="B14" s="5">
        <v>239</v>
      </c>
      <c r="C14" s="5">
        <v>1</v>
      </c>
      <c r="D14" s="7">
        <v>270.66410000000002</v>
      </c>
      <c r="E14" s="5" t="s">
        <v>91</v>
      </c>
      <c r="F14" s="5" t="s">
        <v>92</v>
      </c>
      <c r="G14" s="5" t="s">
        <v>93</v>
      </c>
      <c r="H14" s="6">
        <f>ROUND((N14*275000)+(M14*10000)+(O14*2650)+(P14*840)+(Q14*500)*(R14*840)+(T14*840)+(U14*670)+(V14*1300)+(W14*420)+(X14*2650),-3)</f>
        <v>2707000</v>
      </c>
      <c r="I14" s="5" t="s">
        <v>94</v>
      </c>
      <c r="J14" s="5" t="s">
        <v>95</v>
      </c>
      <c r="K14" s="29">
        <v>38057</v>
      </c>
      <c r="L14" s="22">
        <v>925000</v>
      </c>
      <c r="M14" s="7">
        <v>270.66410000000002</v>
      </c>
      <c r="N14" s="5">
        <v>0</v>
      </c>
      <c r="Z14" s="31">
        <f t="shared" si="3"/>
        <v>2707000</v>
      </c>
      <c r="AA14" s="35" t="s">
        <v>96</v>
      </c>
      <c r="AB14" s="30"/>
      <c r="AC14" s="30"/>
      <c r="AD14" s="30"/>
      <c r="AE14" s="30"/>
    </row>
    <row r="15" spans="1:31" s="5" customFormat="1" ht="13.2" x14ac:dyDescent="0.25">
      <c r="A15" s="10">
        <v>19</v>
      </c>
      <c r="B15" s="5">
        <v>239</v>
      </c>
      <c r="C15" s="5">
        <v>2</v>
      </c>
      <c r="D15" s="7">
        <v>270.66410000000002</v>
      </c>
      <c r="E15" s="5" t="s">
        <v>91</v>
      </c>
      <c r="F15" s="5" t="s">
        <v>97</v>
      </c>
      <c r="G15" s="5" t="s">
        <v>93</v>
      </c>
      <c r="H15" s="6">
        <f>ROUND((N15*275000)+(M15*10000)+(O15*2650)+(P15*840)+(Q15*500)*(R15*840)+(T15*840)+(U15*670)+(V15*1300)+(W15*420)+(X15*2650),-3)</f>
        <v>4131000</v>
      </c>
      <c r="I15" s="5" t="s">
        <v>94</v>
      </c>
      <c r="J15" s="5" t="s">
        <v>95</v>
      </c>
      <c r="K15" s="29">
        <v>38057</v>
      </c>
      <c r="L15" s="22">
        <v>925000</v>
      </c>
      <c r="M15" s="7">
        <v>270.66410000000002</v>
      </c>
      <c r="N15" s="5">
        <v>0</v>
      </c>
      <c r="O15" s="5">
        <f>426+81</f>
        <v>507</v>
      </c>
      <c r="R15" s="5">
        <v>387</v>
      </c>
      <c r="U15" s="5">
        <v>120</v>
      </c>
      <c r="Z15" s="31">
        <f t="shared" si="3"/>
        <v>4131000</v>
      </c>
      <c r="AA15" s="35" t="s">
        <v>96</v>
      </c>
      <c r="AB15" s="30"/>
      <c r="AC15" s="30"/>
      <c r="AD15" s="30"/>
      <c r="AE15" s="30"/>
    </row>
    <row r="16" spans="1:31" s="5" customFormat="1" ht="13.2" x14ac:dyDescent="0.25">
      <c r="A16" s="10">
        <v>19</v>
      </c>
      <c r="B16" s="5">
        <v>239</v>
      </c>
      <c r="C16" s="5">
        <v>5</v>
      </c>
      <c r="D16" s="7">
        <v>270.66410000000002</v>
      </c>
      <c r="E16" s="5" t="s">
        <v>91</v>
      </c>
      <c r="F16" s="5" t="s">
        <v>98</v>
      </c>
      <c r="G16" s="5" t="s">
        <v>93</v>
      </c>
      <c r="H16" s="6">
        <f>ROUND((N16*275000)+(M16*10000)+(O16*2650)+(P16*840)+(Q16*500)+(R16*840)+(T16*1260)+(U16*670)+(V16*1300)+(W16*420)+(X16*2650),-3)</f>
        <v>2707000</v>
      </c>
      <c r="I16" s="5" t="s">
        <v>99</v>
      </c>
      <c r="J16" s="5" t="s">
        <v>100</v>
      </c>
      <c r="K16" s="5" t="s">
        <v>101</v>
      </c>
      <c r="L16" s="22">
        <v>925000</v>
      </c>
      <c r="M16" s="7">
        <v>270.66410000000002</v>
      </c>
      <c r="N16" s="5">
        <v>0</v>
      </c>
      <c r="Z16" s="31">
        <f t="shared" si="3"/>
        <v>2707000</v>
      </c>
      <c r="AA16" s="35" t="s">
        <v>96</v>
      </c>
      <c r="AB16" s="30"/>
      <c r="AC16" s="30"/>
      <c r="AD16" s="30"/>
      <c r="AE16" s="30"/>
    </row>
    <row r="17" spans="1:31" s="5" customFormat="1" ht="13.2" x14ac:dyDescent="0.25">
      <c r="A17" s="10">
        <v>19</v>
      </c>
      <c r="B17" s="5">
        <v>239</v>
      </c>
      <c r="C17" s="5">
        <v>6</v>
      </c>
      <c r="D17" s="7">
        <v>270.66410000000002</v>
      </c>
      <c r="E17" s="5" t="s">
        <v>91</v>
      </c>
      <c r="F17" s="5" t="s">
        <v>102</v>
      </c>
      <c r="G17" s="5" t="s">
        <v>93</v>
      </c>
      <c r="H17" s="6">
        <f>ROUND((N17*275000)+(M17*10000)+(O17*2650)+(P17*840)+(Q17*500)+(R17*840)+(T17*1260)+(U17*670)+(V17*1300)+(W17*420)+(X17*2650),-3)</f>
        <v>2707000</v>
      </c>
      <c r="I17" s="5" t="s">
        <v>99</v>
      </c>
      <c r="J17" s="5" t="s">
        <v>100</v>
      </c>
      <c r="K17" s="5" t="s">
        <v>101</v>
      </c>
      <c r="L17" s="22">
        <v>925000</v>
      </c>
      <c r="M17" s="7">
        <v>270.66410000000002</v>
      </c>
      <c r="N17" s="5">
        <v>0</v>
      </c>
      <c r="Z17" s="31">
        <f t="shared" si="3"/>
        <v>2707000</v>
      </c>
      <c r="AA17" s="35" t="s">
        <v>96</v>
      </c>
      <c r="AB17" s="30"/>
      <c r="AC17" s="30"/>
      <c r="AD17" s="30"/>
      <c r="AE17" s="30"/>
    </row>
    <row r="18" spans="1:31" s="5" customFormat="1" ht="13.2" x14ac:dyDescent="0.25">
      <c r="A18" s="10">
        <v>19</v>
      </c>
      <c r="B18" s="5">
        <v>248</v>
      </c>
      <c r="C18" s="5">
        <v>0</v>
      </c>
      <c r="D18" s="7">
        <v>1428.7908</v>
      </c>
      <c r="E18" s="5" t="s">
        <v>91</v>
      </c>
      <c r="F18" s="5" t="s">
        <v>103</v>
      </c>
      <c r="G18" s="5" t="s">
        <v>104</v>
      </c>
      <c r="H18" s="6">
        <f>ROUND((N18*275000)+(M18*8000)+(O18*2650)+(P18*840)+(Q18*500)*(R18*840)+(T18*2650)+(U18*670)+(V18*1300)+(W18*420)+(X18*2650),-3)</f>
        <v>11430000</v>
      </c>
      <c r="I18" s="5" t="s">
        <v>105</v>
      </c>
      <c r="J18" s="5" t="s">
        <v>106</v>
      </c>
      <c r="L18" s="22">
        <v>15000000</v>
      </c>
      <c r="M18" s="7">
        <f t="shared" ref="M18:M19" si="4">D18-N18</f>
        <v>1428.7908</v>
      </c>
      <c r="N18" s="5">
        <v>0</v>
      </c>
      <c r="Z18" s="31">
        <f t="shared" ref="Z18:Z19" si="5">+H18</f>
        <v>11430000</v>
      </c>
      <c r="AA18" s="35" t="s">
        <v>107</v>
      </c>
      <c r="AB18" s="30"/>
      <c r="AC18" s="30"/>
      <c r="AD18" s="30"/>
      <c r="AE18" s="30"/>
    </row>
    <row r="19" spans="1:31" s="5" customFormat="1" ht="13.2" x14ac:dyDescent="0.25">
      <c r="A19" s="10">
        <v>19</v>
      </c>
      <c r="B19" s="5">
        <v>248</v>
      </c>
      <c r="C19" s="5">
        <v>1</v>
      </c>
      <c r="D19" s="7">
        <v>714.39490000000001</v>
      </c>
      <c r="E19" s="5" t="s">
        <v>91</v>
      </c>
      <c r="F19" s="5" t="s">
        <v>108</v>
      </c>
      <c r="G19" s="5" t="s">
        <v>104</v>
      </c>
      <c r="H19" s="6">
        <f>ROUND((N19*275000)+(M19*8000)+(O19*2650)+(P19*840)+(Q19*500)*(R19*840)+(T19*2650)+(U19*670)+(V19*1300)+(W19*420)+(X19*2650),-3)</f>
        <v>5715000</v>
      </c>
      <c r="I19" s="5" t="s">
        <v>105</v>
      </c>
      <c r="J19" s="5" t="s">
        <v>106</v>
      </c>
      <c r="L19" s="22">
        <v>15000000</v>
      </c>
      <c r="M19" s="7">
        <f t="shared" si="4"/>
        <v>714.39490000000001</v>
      </c>
      <c r="N19" s="5">
        <v>0</v>
      </c>
      <c r="Z19" s="31">
        <f t="shared" si="5"/>
        <v>5715000</v>
      </c>
      <c r="AA19" s="35" t="s">
        <v>107</v>
      </c>
      <c r="AB19" s="30"/>
      <c r="AC19" s="30"/>
      <c r="AD19" s="30"/>
      <c r="AE19" s="30"/>
    </row>
    <row r="20" spans="1:31" x14ac:dyDescent="0.3">
      <c r="Z20" s="34">
        <f>SUM(Z5:Z19)</f>
        <v>99934300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"/>
  <sheetViews>
    <sheetView workbookViewId="0"/>
  </sheetViews>
  <sheetFormatPr defaultColWidth="9.109375" defaultRowHeight="14.4" x14ac:dyDescent="0.3"/>
  <cols>
    <col min="1" max="3" width="9.109375" style="44"/>
    <col min="4" max="4" width="9.5546875" style="44" bestFit="1" customWidth="1"/>
    <col min="5" max="5" width="11.109375" style="44" bestFit="1" customWidth="1"/>
    <col min="6" max="6" width="22.6640625" style="44" bestFit="1" customWidth="1"/>
    <col min="7" max="7" width="22.88671875" style="44" bestFit="1" customWidth="1"/>
    <col min="8" max="8" width="11.44140625" style="44" bestFit="1" customWidth="1"/>
    <col min="9" max="9" width="24" style="44" customWidth="1"/>
    <col min="10" max="10" width="11.5546875" style="44" bestFit="1" customWidth="1"/>
    <col min="11" max="11" width="9.109375" style="44"/>
    <col min="12" max="12" width="10.44140625" style="44" bestFit="1" customWidth="1"/>
    <col min="13" max="21" width="9.109375" style="44"/>
    <col min="22" max="22" width="11.44140625" style="44" bestFit="1" customWidth="1"/>
    <col min="23" max="16384" width="9.109375" style="44"/>
  </cols>
  <sheetData>
    <row r="1" spans="1:25" s="5" customFormat="1" ht="17.399999999999999" x14ac:dyDescent="0.3">
      <c r="B1" s="2" t="s">
        <v>51</v>
      </c>
      <c r="C1" s="2"/>
      <c r="D1" s="36"/>
      <c r="E1" s="2"/>
      <c r="F1" s="2"/>
      <c r="G1" s="2"/>
      <c r="H1" s="37"/>
      <c r="I1" s="2"/>
      <c r="L1" s="38"/>
    </row>
    <row r="2" spans="1:25" s="5" customFormat="1" ht="13.2" x14ac:dyDescent="0.25">
      <c r="A2" s="5" t="s">
        <v>23</v>
      </c>
      <c r="B2" s="10" t="s">
        <v>0</v>
      </c>
      <c r="C2" s="10" t="s">
        <v>25</v>
      </c>
      <c r="D2" s="39" t="s">
        <v>2</v>
      </c>
      <c r="E2" s="10" t="s">
        <v>3</v>
      </c>
      <c r="F2" s="10" t="s">
        <v>4</v>
      </c>
      <c r="G2" s="10" t="s">
        <v>26</v>
      </c>
      <c r="H2" s="40" t="s">
        <v>36</v>
      </c>
      <c r="I2" s="10" t="s">
        <v>6</v>
      </c>
      <c r="J2" s="10" t="s">
        <v>7</v>
      </c>
      <c r="K2" s="10" t="s">
        <v>8</v>
      </c>
      <c r="L2" s="2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44</v>
      </c>
      <c r="R2" s="10" t="s">
        <v>16</v>
      </c>
      <c r="S2" s="10" t="s">
        <v>47</v>
      </c>
      <c r="T2" s="10" t="s">
        <v>21</v>
      </c>
      <c r="U2" s="5" t="s">
        <v>48</v>
      </c>
      <c r="V2" s="15" t="s">
        <v>22</v>
      </c>
    </row>
    <row r="3" spans="1:25" s="5" customFormat="1" ht="13.2" x14ac:dyDescent="0.25">
      <c r="B3" s="10" t="s">
        <v>49</v>
      </c>
      <c r="C3" s="10" t="s">
        <v>49</v>
      </c>
      <c r="D3" s="39" t="s">
        <v>25</v>
      </c>
      <c r="E3" s="10"/>
      <c r="F3" s="10"/>
      <c r="H3" s="40" t="s">
        <v>27</v>
      </c>
      <c r="I3" s="10" t="s">
        <v>28</v>
      </c>
      <c r="J3" s="10" t="s">
        <v>29</v>
      </c>
      <c r="K3" s="10" t="s">
        <v>9</v>
      </c>
      <c r="L3" s="24" t="s">
        <v>30</v>
      </c>
      <c r="N3" s="10" t="s">
        <v>32</v>
      </c>
      <c r="U3" s="5" t="s">
        <v>50</v>
      </c>
      <c r="V3" s="15" t="s">
        <v>34</v>
      </c>
    </row>
    <row r="5" spans="1:25" s="5" customFormat="1" ht="13.2" x14ac:dyDescent="0.25">
      <c r="A5" s="5">
        <v>13</v>
      </c>
      <c r="B5" s="5">
        <v>117</v>
      </c>
      <c r="C5" s="5">
        <v>0</v>
      </c>
      <c r="D5" s="41">
        <v>1500.6041</v>
      </c>
      <c r="E5" s="5" t="s">
        <v>91</v>
      </c>
      <c r="F5" s="5" t="s">
        <v>110</v>
      </c>
      <c r="G5" s="5" t="s">
        <v>111</v>
      </c>
      <c r="H5" s="42">
        <f>ROUND(((D5*8000)+(O5*2650)+(P5*840)+(R5*840)+(T5*2650)),-3)</f>
        <v>12993000</v>
      </c>
      <c r="I5" s="25" t="s">
        <v>112</v>
      </c>
      <c r="J5" s="25" t="s">
        <v>113</v>
      </c>
      <c r="K5" s="25" t="s">
        <v>114</v>
      </c>
      <c r="L5" s="43">
        <v>3300000</v>
      </c>
      <c r="M5" s="5">
        <v>1500.6041</v>
      </c>
      <c r="S5" s="5" t="s">
        <v>115</v>
      </c>
      <c r="T5" s="5">
        <v>373</v>
      </c>
      <c r="U5" s="5" t="s">
        <v>91</v>
      </c>
      <c r="V5" s="45">
        <f>+H5</f>
        <v>12993000</v>
      </c>
      <c r="W5" s="32" t="s">
        <v>107</v>
      </c>
      <c r="X5" s="15"/>
      <c r="Y5" s="15"/>
    </row>
    <row r="6" spans="1:25" s="5" customFormat="1" ht="13.2" x14ac:dyDescent="0.25">
      <c r="A6" s="5">
        <v>13</v>
      </c>
      <c r="B6" s="5">
        <v>135</v>
      </c>
      <c r="C6" s="5">
        <v>0</v>
      </c>
      <c r="D6" s="41">
        <v>912.73140000000001</v>
      </c>
      <c r="E6" s="5" t="s">
        <v>91</v>
      </c>
      <c r="F6" s="5" t="s">
        <v>116</v>
      </c>
      <c r="G6" s="5" t="s">
        <v>111</v>
      </c>
      <c r="H6" s="42">
        <f>ROUND(((D6*8000)+(O6*2650)+(P6*840)+(R6*840)+T6*1700),-3)</f>
        <v>7302000</v>
      </c>
      <c r="I6" s="25" t="s">
        <v>112</v>
      </c>
      <c r="J6" s="25" t="s">
        <v>117</v>
      </c>
      <c r="K6" s="25" t="s">
        <v>114</v>
      </c>
      <c r="L6" s="43">
        <v>7700000</v>
      </c>
      <c r="M6" s="5">
        <v>912.73140000000001</v>
      </c>
      <c r="U6" s="5" t="s">
        <v>91</v>
      </c>
      <c r="V6" s="45">
        <f>+H6</f>
        <v>7302000</v>
      </c>
      <c r="W6" s="32" t="s">
        <v>107</v>
      </c>
      <c r="X6" s="15"/>
      <c r="Y6" s="15"/>
    </row>
    <row r="7" spans="1:25" x14ac:dyDescent="0.3">
      <c r="H7" s="56">
        <f>SUM(H5:H6)</f>
        <v>20295000</v>
      </c>
      <c r="V7" s="59">
        <f>SUM(V5:V6)</f>
        <v>20295000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"/>
  <sheetViews>
    <sheetView topLeftCell="I1" workbookViewId="0">
      <selection activeCell="H10" sqref="H10"/>
    </sheetView>
  </sheetViews>
  <sheetFormatPr defaultColWidth="13.109375" defaultRowHeight="14.4" x14ac:dyDescent="0.3"/>
  <cols>
    <col min="1" max="1" width="5.88671875" style="44" customWidth="1"/>
    <col min="2" max="2" width="7.88671875" style="44" customWidth="1"/>
    <col min="3" max="3" width="32.6640625" style="44" customWidth="1"/>
    <col min="4" max="5" width="13.109375" style="44"/>
    <col min="6" max="6" width="22.6640625" style="44" bestFit="1" customWidth="1"/>
    <col min="7" max="7" width="32.109375" style="44" bestFit="1" customWidth="1"/>
    <col min="8" max="8" width="13.109375" style="44"/>
    <col min="9" max="9" width="50" style="44" bestFit="1" customWidth="1"/>
    <col min="10" max="16384" width="13.109375" style="44"/>
  </cols>
  <sheetData>
    <row r="1" spans="1:16" s="5" customFormat="1" ht="17.399999999999999" x14ac:dyDescent="0.3">
      <c r="C1" s="2" t="s">
        <v>136</v>
      </c>
      <c r="D1" s="3"/>
      <c r="E1" s="2"/>
      <c r="F1" s="2"/>
      <c r="G1" s="2"/>
      <c r="H1" s="24"/>
    </row>
    <row r="2" spans="1:16" s="10" customFormat="1" ht="12.75" customHeight="1" x14ac:dyDescent="0.25">
      <c r="A2" s="10" t="s">
        <v>43</v>
      </c>
      <c r="B2" s="10" t="s">
        <v>1</v>
      </c>
      <c r="C2" s="10" t="s">
        <v>0</v>
      </c>
      <c r="D2" s="11" t="s">
        <v>52</v>
      </c>
      <c r="E2" s="10" t="s">
        <v>3</v>
      </c>
      <c r="F2" s="10" t="s">
        <v>4</v>
      </c>
      <c r="G2" s="10" t="s">
        <v>26</v>
      </c>
      <c r="H2" s="12" t="s">
        <v>53</v>
      </c>
      <c r="I2" s="10" t="s">
        <v>28</v>
      </c>
      <c r="J2" s="10" t="s">
        <v>7</v>
      </c>
      <c r="K2" s="10" t="s">
        <v>54</v>
      </c>
      <c r="L2" s="10" t="s">
        <v>30</v>
      </c>
      <c r="M2" s="10" t="s">
        <v>55</v>
      </c>
      <c r="N2" s="10" t="s">
        <v>56</v>
      </c>
      <c r="O2" s="15" t="s">
        <v>45</v>
      </c>
      <c r="P2" s="15" t="s">
        <v>22</v>
      </c>
    </row>
    <row r="3" spans="1:16" s="10" customFormat="1" ht="12.75" customHeight="1" x14ac:dyDescent="0.25">
      <c r="D3" s="11"/>
      <c r="H3" s="12"/>
      <c r="O3" s="15" t="s">
        <v>46</v>
      </c>
      <c r="P3" s="15" t="s">
        <v>34</v>
      </c>
    </row>
    <row r="4" spans="1:16" x14ac:dyDescent="0.3">
      <c r="O4" s="50"/>
      <c r="P4" s="50"/>
    </row>
    <row r="5" spans="1:16" s="5" customFormat="1" ht="13.2" x14ac:dyDescent="0.25">
      <c r="A5" s="5">
        <v>377</v>
      </c>
      <c r="B5" s="46">
        <v>1</v>
      </c>
      <c r="C5" s="46" t="s">
        <v>118</v>
      </c>
      <c r="D5" s="49">
        <v>412.84899999999999</v>
      </c>
      <c r="E5" s="5" t="s">
        <v>57</v>
      </c>
      <c r="F5" s="5" t="s">
        <v>119</v>
      </c>
      <c r="G5" s="46" t="s">
        <v>120</v>
      </c>
      <c r="H5" s="6">
        <f>ROUND(((D5*4950)+(N5)),-3)</f>
        <v>2044000</v>
      </c>
      <c r="I5" s="25" t="s">
        <v>121</v>
      </c>
      <c r="J5" s="25" t="s">
        <v>122</v>
      </c>
      <c r="L5" s="25" t="s">
        <v>123</v>
      </c>
      <c r="M5" s="25" t="s">
        <v>124</v>
      </c>
      <c r="N5" s="48">
        <v>0</v>
      </c>
      <c r="O5" s="15" t="s">
        <v>57</v>
      </c>
      <c r="P5" s="31">
        <f>+H5</f>
        <v>2044000</v>
      </c>
    </row>
    <row r="6" spans="1:16" s="5" customFormat="1" ht="13.2" x14ac:dyDescent="0.25">
      <c r="A6" s="5">
        <v>378</v>
      </c>
      <c r="B6" s="46">
        <v>1</v>
      </c>
      <c r="C6" s="46" t="s">
        <v>125</v>
      </c>
      <c r="D6" s="47">
        <v>63.387900000000002</v>
      </c>
      <c r="E6" s="5" t="s">
        <v>57</v>
      </c>
      <c r="F6" s="5" t="s">
        <v>126</v>
      </c>
      <c r="G6" s="46" t="s">
        <v>120</v>
      </c>
      <c r="H6" s="6">
        <f>ROUND(((D6*4950)+(N6)),-3)</f>
        <v>764000</v>
      </c>
      <c r="I6" s="25" t="s">
        <v>121</v>
      </c>
      <c r="J6" s="25" t="s">
        <v>122</v>
      </c>
      <c r="L6" s="25" t="s">
        <v>123</v>
      </c>
      <c r="M6" s="25" t="s">
        <v>124</v>
      </c>
      <c r="N6" s="48">
        <v>450000</v>
      </c>
      <c r="O6" s="15" t="s">
        <v>57</v>
      </c>
      <c r="P6" s="31">
        <f>+H6</f>
        <v>764000</v>
      </c>
    </row>
    <row r="7" spans="1:16" s="5" customFormat="1" ht="13.2" x14ac:dyDescent="0.25">
      <c r="A7" s="5">
        <v>378</v>
      </c>
      <c r="B7" s="46">
        <v>7</v>
      </c>
      <c r="C7" s="46" t="s">
        <v>125</v>
      </c>
      <c r="D7" s="47">
        <v>3.1855000000000002</v>
      </c>
      <c r="E7" s="5" t="s">
        <v>57</v>
      </c>
      <c r="F7" s="5" t="s">
        <v>127</v>
      </c>
      <c r="G7" s="46" t="s">
        <v>120</v>
      </c>
      <c r="H7" s="6">
        <f>ROUND(((D7*4950)+(N7)),-3)</f>
        <v>16000</v>
      </c>
      <c r="I7" s="46" t="s">
        <v>128</v>
      </c>
      <c r="J7" s="46" t="s">
        <v>129</v>
      </c>
      <c r="K7" s="25">
        <v>20130206</v>
      </c>
      <c r="L7" s="46" t="s">
        <v>130</v>
      </c>
      <c r="M7" s="25" t="s">
        <v>131</v>
      </c>
      <c r="N7" s="48">
        <v>0</v>
      </c>
      <c r="O7" s="15" t="s">
        <v>57</v>
      </c>
      <c r="P7" s="31">
        <f>+H7</f>
        <v>16000</v>
      </c>
    </row>
    <row r="8" spans="1:16" s="5" customFormat="1" ht="13.2" x14ac:dyDescent="0.25">
      <c r="A8" s="5">
        <v>380</v>
      </c>
      <c r="B8" s="46">
        <v>0</v>
      </c>
      <c r="C8" s="46" t="s">
        <v>132</v>
      </c>
      <c r="D8" s="47">
        <v>315.2038</v>
      </c>
      <c r="E8" s="5" t="s">
        <v>57</v>
      </c>
      <c r="F8" s="5" t="s">
        <v>133</v>
      </c>
      <c r="G8" s="46" t="s">
        <v>120</v>
      </c>
      <c r="H8" s="6">
        <f>ROUND(((D8*4950)+(N8)),-3)</f>
        <v>1860000</v>
      </c>
      <c r="I8" s="46" t="s">
        <v>128</v>
      </c>
      <c r="J8" s="46" t="s">
        <v>129</v>
      </c>
      <c r="K8" s="25">
        <v>20130206</v>
      </c>
      <c r="L8" s="46" t="s">
        <v>130</v>
      </c>
      <c r="M8" s="25" t="s">
        <v>131</v>
      </c>
      <c r="N8" s="48">
        <v>300000</v>
      </c>
      <c r="O8" s="15" t="s">
        <v>57</v>
      </c>
      <c r="P8" s="31">
        <f t="shared" ref="P8:P10" si="0">+H8</f>
        <v>1860000</v>
      </c>
    </row>
    <row r="9" spans="1:16" s="5" customFormat="1" ht="13.2" x14ac:dyDescent="0.25">
      <c r="A9" s="5">
        <v>381</v>
      </c>
      <c r="B9" s="46">
        <v>0</v>
      </c>
      <c r="C9" s="46" t="s">
        <v>134</v>
      </c>
      <c r="D9" s="47">
        <v>260.28719999999998</v>
      </c>
      <c r="E9" s="5" t="s">
        <v>57</v>
      </c>
      <c r="F9" s="5" t="s">
        <v>135</v>
      </c>
      <c r="G9" s="46" t="s">
        <v>120</v>
      </c>
      <c r="H9" s="6">
        <f>ROUND(((D9*4950)+(N9)),-3)</f>
        <v>1288000</v>
      </c>
      <c r="I9" s="46" t="s">
        <v>128</v>
      </c>
      <c r="J9" s="46" t="s">
        <v>129</v>
      </c>
      <c r="K9" s="25">
        <v>20130206</v>
      </c>
      <c r="L9" s="46" t="s">
        <v>130</v>
      </c>
      <c r="M9" s="25" t="s">
        <v>131</v>
      </c>
      <c r="N9" s="48">
        <v>0</v>
      </c>
      <c r="O9" s="15" t="s">
        <v>57</v>
      </c>
      <c r="P9" s="31">
        <f t="shared" si="0"/>
        <v>1288000</v>
      </c>
    </row>
    <row r="10" spans="1:16" x14ac:dyDescent="0.3">
      <c r="H10" s="57">
        <f>SUM(H5:H9)</f>
        <v>5972000</v>
      </c>
      <c r="P10" s="58">
        <f t="shared" si="0"/>
        <v>5972000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68"/>
  <sheetViews>
    <sheetView topLeftCell="N1" workbookViewId="0"/>
  </sheetViews>
  <sheetFormatPr defaultColWidth="9.109375" defaultRowHeight="14.4" x14ac:dyDescent="0.3"/>
  <cols>
    <col min="1" max="3" width="9.109375" style="44"/>
    <col min="4" max="4" width="10.109375" style="44" bestFit="1" customWidth="1"/>
    <col min="5" max="5" width="11.109375" style="44" bestFit="1" customWidth="1"/>
    <col min="6" max="6" width="22.6640625" style="44" bestFit="1" customWidth="1"/>
    <col min="7" max="7" width="35.6640625" style="44" bestFit="1" customWidth="1"/>
    <col min="8" max="8" width="12.33203125" style="44" bestFit="1" customWidth="1"/>
    <col min="9" max="9" width="48.44140625" style="44" bestFit="1" customWidth="1"/>
    <col min="10" max="10" width="13.33203125" style="44" bestFit="1" customWidth="1"/>
    <col min="11" max="11" width="10.109375" style="44" bestFit="1" customWidth="1"/>
    <col min="12" max="12" width="11.44140625" style="44" bestFit="1" customWidth="1"/>
    <col min="13" max="13" width="10.5546875" style="44" bestFit="1" customWidth="1"/>
    <col min="14" max="14" width="10.109375" style="44" bestFit="1" customWidth="1"/>
    <col min="15" max="17" width="9.109375" style="44"/>
    <col min="18" max="18" width="17.88671875" style="44" bestFit="1" customWidth="1"/>
    <col min="19" max="19" width="8.5546875" style="44" bestFit="1" customWidth="1"/>
    <col min="20" max="20" width="25.88671875" style="44" bestFit="1" customWidth="1"/>
    <col min="21" max="21" width="9.109375" style="44"/>
    <col min="22" max="22" width="10" style="44" bestFit="1" customWidth="1"/>
    <col min="23" max="23" width="13.109375" style="44" bestFit="1" customWidth="1"/>
    <col min="24" max="25" width="9.109375" style="44"/>
    <col min="26" max="26" width="12.33203125" style="61" bestFit="1" customWidth="1"/>
    <col min="27" max="34" width="9.109375" style="61"/>
    <col min="35" max="16384" width="9.109375" style="44"/>
  </cols>
  <sheetData>
    <row r="1" spans="1:34" s="1" customFormat="1" ht="31.5" customHeight="1" x14ac:dyDescent="0.3">
      <c r="B1" s="2" t="s">
        <v>35</v>
      </c>
      <c r="C1" s="2"/>
      <c r="D1" s="3"/>
      <c r="E1" s="2"/>
      <c r="F1" s="2"/>
      <c r="G1" s="2"/>
      <c r="H1" s="4"/>
      <c r="I1" s="2"/>
      <c r="J1" s="5"/>
      <c r="K1" s="5"/>
      <c r="L1" s="6"/>
      <c r="M1" s="5"/>
      <c r="N1" s="7"/>
      <c r="O1" s="8"/>
      <c r="P1" s="9"/>
      <c r="Q1" s="9"/>
      <c r="R1" s="9"/>
      <c r="S1" s="9"/>
      <c r="T1" s="9"/>
      <c r="U1" s="9"/>
      <c r="V1" s="9"/>
      <c r="W1" s="9"/>
      <c r="X1" s="9"/>
      <c r="Y1" s="9"/>
      <c r="Z1" s="15"/>
      <c r="AA1" s="60"/>
      <c r="AB1" s="54"/>
      <c r="AC1" s="54"/>
      <c r="AD1" s="54"/>
      <c r="AE1" s="54"/>
      <c r="AF1" s="54"/>
      <c r="AG1" s="54"/>
      <c r="AH1" s="54"/>
    </row>
    <row r="2" spans="1:34" s="1" customFormat="1" ht="13.2" x14ac:dyDescent="0.25">
      <c r="A2" s="5"/>
      <c r="B2" s="10" t="s">
        <v>0</v>
      </c>
      <c r="C2" s="10" t="s">
        <v>1</v>
      </c>
      <c r="D2" s="11" t="s">
        <v>2</v>
      </c>
      <c r="E2" s="10" t="s">
        <v>3</v>
      </c>
      <c r="F2" s="10" t="s">
        <v>4</v>
      </c>
      <c r="G2" s="10"/>
      <c r="H2" s="12" t="s">
        <v>5</v>
      </c>
      <c r="I2" s="10" t="s">
        <v>6</v>
      </c>
      <c r="J2" s="10" t="s">
        <v>7</v>
      </c>
      <c r="K2" s="10" t="s">
        <v>8</v>
      </c>
      <c r="L2" s="12" t="s">
        <v>9</v>
      </c>
      <c r="M2" s="10" t="s">
        <v>10</v>
      </c>
      <c r="N2" s="11" t="s">
        <v>11</v>
      </c>
      <c r="O2" s="13" t="s">
        <v>12</v>
      </c>
      <c r="P2" s="14" t="s">
        <v>13</v>
      </c>
      <c r="Q2" s="14" t="s">
        <v>14</v>
      </c>
      <c r="R2" s="14" t="s">
        <v>15</v>
      </c>
      <c r="S2" s="14" t="s">
        <v>16</v>
      </c>
      <c r="T2" s="14" t="s">
        <v>17</v>
      </c>
      <c r="U2" s="14" t="s">
        <v>18</v>
      </c>
      <c r="V2" s="14" t="s">
        <v>19</v>
      </c>
      <c r="W2" s="14" t="s">
        <v>20</v>
      </c>
      <c r="X2" s="14" t="s">
        <v>21</v>
      </c>
      <c r="Y2" s="9"/>
      <c r="Z2" s="15" t="s">
        <v>22</v>
      </c>
      <c r="AA2" s="60"/>
      <c r="AB2" s="54"/>
      <c r="AC2" s="54"/>
      <c r="AD2" s="54"/>
      <c r="AE2" s="54"/>
      <c r="AF2" s="54"/>
      <c r="AG2" s="54"/>
      <c r="AH2" s="54"/>
    </row>
    <row r="3" spans="1:34" s="1" customFormat="1" ht="13.2" x14ac:dyDescent="0.25">
      <c r="A3" s="10" t="s">
        <v>23</v>
      </c>
      <c r="B3" s="10" t="s">
        <v>24</v>
      </c>
      <c r="C3" s="10" t="s">
        <v>24</v>
      </c>
      <c r="D3" s="11" t="s">
        <v>25</v>
      </c>
      <c r="E3" s="10"/>
      <c r="F3" s="10"/>
      <c r="G3" s="10" t="s">
        <v>26</v>
      </c>
      <c r="H3" s="12" t="s">
        <v>27</v>
      </c>
      <c r="I3" s="10" t="s">
        <v>28</v>
      </c>
      <c r="J3" s="10" t="s">
        <v>29</v>
      </c>
      <c r="K3" s="10" t="s">
        <v>9</v>
      </c>
      <c r="L3" s="12" t="s">
        <v>30</v>
      </c>
      <c r="M3" s="10" t="s">
        <v>31</v>
      </c>
      <c r="N3" s="16"/>
      <c r="O3" s="13" t="s">
        <v>32</v>
      </c>
      <c r="P3" s="14"/>
      <c r="Q3" s="14"/>
      <c r="R3" s="14"/>
      <c r="S3" s="14"/>
      <c r="T3" s="14" t="s">
        <v>33</v>
      </c>
      <c r="U3" s="14"/>
      <c r="V3" s="14" t="s">
        <v>33</v>
      </c>
      <c r="W3" s="14"/>
      <c r="X3" s="14"/>
      <c r="Y3" s="14"/>
      <c r="Z3" s="15" t="s">
        <v>34</v>
      </c>
      <c r="AA3" s="60"/>
      <c r="AB3" s="54"/>
      <c r="AC3" s="54"/>
      <c r="AD3" s="54"/>
      <c r="AE3" s="54"/>
      <c r="AF3" s="54"/>
      <c r="AG3" s="54"/>
      <c r="AH3" s="54"/>
    </row>
    <row r="5" spans="1:34" s="1" customFormat="1" ht="13.2" x14ac:dyDescent="0.25">
      <c r="A5" s="5">
        <v>20</v>
      </c>
      <c r="B5" s="5">
        <v>76</v>
      </c>
      <c r="C5" s="5">
        <v>41</v>
      </c>
      <c r="D5" s="7">
        <v>400.3381</v>
      </c>
      <c r="E5" s="5" t="s">
        <v>57</v>
      </c>
      <c r="F5" s="5" t="s">
        <v>137</v>
      </c>
      <c r="G5" s="5" t="s">
        <v>138</v>
      </c>
      <c r="H5" s="6">
        <f>ROUND((O5*220000)+(N5*3000)+(P5*2650)+(Q5*840)+(R5*420)+(S5*840)+(T5*2750)+(U5*1300)+(V5*500)+(W5*670)+(Y5*2650),-3)</f>
        <v>19038000</v>
      </c>
      <c r="I5" s="51" t="s">
        <v>139</v>
      </c>
      <c r="J5" s="51" t="s">
        <v>140</v>
      </c>
      <c r="K5" s="51">
        <v>1082016</v>
      </c>
      <c r="L5" s="52">
        <v>23000000</v>
      </c>
      <c r="M5" s="5">
        <v>12</v>
      </c>
      <c r="N5" s="7">
        <f t="shared" ref="N5:N41" si="0">D5-O5</f>
        <v>318.13810000000001</v>
      </c>
      <c r="O5" s="8">
        <v>82.2</v>
      </c>
      <c r="P5" s="9"/>
      <c r="Q5" s="9"/>
      <c r="R5" s="9"/>
      <c r="S5" s="9"/>
      <c r="T5" s="9"/>
      <c r="U5" s="9"/>
      <c r="V5" s="9"/>
      <c r="W5" s="9"/>
      <c r="X5" s="9"/>
      <c r="Y5" s="9"/>
      <c r="Z5" s="31">
        <f t="shared" ref="Z5:Z18" si="1">+H5</f>
        <v>19038000</v>
      </c>
      <c r="AA5" s="60" t="s">
        <v>141</v>
      </c>
      <c r="AB5" s="54"/>
      <c r="AC5" s="54"/>
      <c r="AD5" s="54"/>
      <c r="AE5" s="54"/>
      <c r="AF5" s="54"/>
      <c r="AG5" s="54"/>
      <c r="AH5" s="54"/>
    </row>
    <row r="6" spans="1:34" s="1" customFormat="1" ht="13.2" x14ac:dyDescent="0.25">
      <c r="A6" s="5">
        <v>20</v>
      </c>
      <c r="B6" s="5">
        <v>76</v>
      </c>
      <c r="C6" s="5">
        <v>44</v>
      </c>
      <c r="D6" s="7">
        <v>54.691099999999999</v>
      </c>
      <c r="E6" s="5" t="s">
        <v>57</v>
      </c>
      <c r="F6" s="5" t="s">
        <v>142</v>
      </c>
      <c r="G6" s="5" t="s">
        <v>138</v>
      </c>
      <c r="H6" s="6">
        <f>ROUND((O6*220000)+(N6*3000)+(P6*2650)+(Q6*840)+(R6*420)+(S6*840)+(T6*2750)+(U6*1300)+(V6*500)+(W6*670)+(Y6*2650),-3)</f>
        <v>4656000</v>
      </c>
      <c r="I6" s="51" t="s">
        <v>139</v>
      </c>
      <c r="J6" s="51" t="s">
        <v>140</v>
      </c>
      <c r="K6" s="51">
        <v>1082016</v>
      </c>
      <c r="L6" s="52">
        <v>23000000</v>
      </c>
      <c r="M6" s="5">
        <v>12</v>
      </c>
      <c r="N6" s="7">
        <f t="shared" si="0"/>
        <v>33.991100000000003</v>
      </c>
      <c r="O6" s="8">
        <v>20.7</v>
      </c>
      <c r="P6" s="9"/>
      <c r="Q6" s="9"/>
      <c r="R6" s="9"/>
      <c r="S6" s="9"/>
      <c r="T6" s="9"/>
      <c r="U6" s="9"/>
      <c r="V6" s="9"/>
      <c r="W6" s="9"/>
      <c r="X6" s="9"/>
      <c r="Y6" s="9"/>
      <c r="Z6" s="31">
        <f t="shared" si="1"/>
        <v>4656000</v>
      </c>
      <c r="AA6" s="60" t="s">
        <v>141</v>
      </c>
      <c r="AB6" s="54"/>
      <c r="AC6" s="54"/>
      <c r="AD6" s="54"/>
      <c r="AE6" s="54"/>
      <c r="AF6" s="54"/>
      <c r="AG6" s="54"/>
      <c r="AH6" s="54"/>
    </row>
    <row r="7" spans="1:34" s="1" customFormat="1" ht="13.2" x14ac:dyDescent="0.25">
      <c r="A7" s="5">
        <v>20</v>
      </c>
      <c r="B7" s="5">
        <v>76</v>
      </c>
      <c r="C7" s="5">
        <v>61</v>
      </c>
      <c r="D7" s="7">
        <v>367.2824</v>
      </c>
      <c r="E7" s="5" t="s">
        <v>57</v>
      </c>
      <c r="F7" s="5" t="s">
        <v>143</v>
      </c>
      <c r="G7" s="5" t="s">
        <v>138</v>
      </c>
      <c r="H7" s="6">
        <f>ROUND((O7*250000)+(N7*3000)+(P7*2650)+(Q7*840)+(R7*420)+(S7*840)+(T7*2750)+(U7*1300)+(V7*500)+(W7*670)+(Y7*2650),-3)</f>
        <v>1102000</v>
      </c>
      <c r="I7" s="51" t="s">
        <v>139</v>
      </c>
      <c r="J7" s="51" t="s">
        <v>140</v>
      </c>
      <c r="K7" s="51">
        <v>1082016</v>
      </c>
      <c r="L7" s="52">
        <v>23000000</v>
      </c>
      <c r="M7" s="5">
        <v>12</v>
      </c>
      <c r="N7" s="7">
        <f t="shared" si="0"/>
        <v>367.2824</v>
      </c>
      <c r="O7" s="8">
        <v>0</v>
      </c>
      <c r="P7" s="9"/>
      <c r="Q7" s="9"/>
      <c r="R7" s="9"/>
      <c r="S7" s="9"/>
      <c r="T7" s="9"/>
      <c r="U7" s="9"/>
      <c r="V7" s="9"/>
      <c r="W7" s="9"/>
      <c r="X7" s="9"/>
      <c r="Y7" s="9"/>
      <c r="Z7" s="31">
        <f t="shared" si="1"/>
        <v>1102000</v>
      </c>
      <c r="AA7" s="60" t="s">
        <v>141</v>
      </c>
      <c r="AB7" s="54"/>
      <c r="AC7" s="54"/>
      <c r="AD7" s="54"/>
      <c r="AE7" s="54"/>
      <c r="AF7" s="54"/>
      <c r="AG7" s="54"/>
      <c r="AH7" s="54"/>
    </row>
    <row r="8" spans="1:34" s="1" customFormat="1" ht="13.2" x14ac:dyDescent="0.25">
      <c r="A8" s="5">
        <v>20</v>
      </c>
      <c r="B8" s="5">
        <v>87</v>
      </c>
      <c r="C8" s="5">
        <v>28</v>
      </c>
      <c r="D8" s="7">
        <f>90.0787-3.7763</f>
        <v>86.302399999999992</v>
      </c>
      <c r="E8" s="5" t="s">
        <v>57</v>
      </c>
      <c r="F8" s="5" t="s">
        <v>144</v>
      </c>
      <c r="G8" s="5" t="s">
        <v>145</v>
      </c>
      <c r="H8" s="6">
        <f>ROUND((O8*250000)+(N8*1000)+(P8*2650)+(Q8*840)+(R8*420)+(S8*840)+(T8*2750)+(U8*1300)+(V8*500)+(W8*670)+(Y8*2500),-3)</f>
        <v>9176000</v>
      </c>
      <c r="I8" s="5" t="s">
        <v>146</v>
      </c>
      <c r="J8" s="5" t="s">
        <v>147</v>
      </c>
      <c r="K8" s="29">
        <v>37145</v>
      </c>
      <c r="L8" s="6">
        <v>1100000</v>
      </c>
      <c r="M8" s="5">
        <v>7</v>
      </c>
      <c r="N8" s="7">
        <f t="shared" si="0"/>
        <v>53.302399999999992</v>
      </c>
      <c r="O8" s="8">
        <v>33</v>
      </c>
      <c r="P8" s="9">
        <v>250</v>
      </c>
      <c r="Q8" s="9">
        <v>250</v>
      </c>
      <c r="R8" s="9"/>
      <c r="S8" s="9"/>
      <c r="T8" s="9"/>
      <c r="U8" s="9"/>
      <c r="V8" s="9"/>
      <c r="W8" s="9"/>
      <c r="X8" s="9"/>
      <c r="Y8" s="9"/>
      <c r="Z8" s="31">
        <f t="shared" si="1"/>
        <v>9176000</v>
      </c>
      <c r="AA8" s="60" t="s">
        <v>148</v>
      </c>
      <c r="AB8" s="54"/>
      <c r="AC8" s="54"/>
      <c r="AD8" s="54"/>
      <c r="AE8" s="54"/>
      <c r="AF8" s="54"/>
      <c r="AG8" s="54"/>
      <c r="AH8" s="54"/>
    </row>
    <row r="9" spans="1:34" s="1" customFormat="1" ht="13.2" x14ac:dyDescent="0.25">
      <c r="A9" s="5">
        <v>25</v>
      </c>
      <c r="B9" s="5">
        <v>87</v>
      </c>
      <c r="C9" s="5">
        <v>137</v>
      </c>
      <c r="D9" s="7">
        <v>3.7763</v>
      </c>
      <c r="E9" s="5" t="s">
        <v>79</v>
      </c>
      <c r="F9" s="5" t="s">
        <v>149</v>
      </c>
      <c r="G9" s="5" t="s">
        <v>150</v>
      </c>
      <c r="H9" s="6">
        <f>ROUND((D9*600)+200,-2)</f>
        <v>2500</v>
      </c>
      <c r="I9" s="25" t="s">
        <v>151</v>
      </c>
      <c r="J9" s="5" t="s">
        <v>152</v>
      </c>
      <c r="K9" s="29">
        <v>37601</v>
      </c>
      <c r="L9" s="6" t="s">
        <v>153</v>
      </c>
      <c r="M9" s="5"/>
      <c r="N9" s="7">
        <f t="shared" si="0"/>
        <v>3.7763</v>
      </c>
      <c r="O9" s="8">
        <v>0</v>
      </c>
      <c r="P9" s="9"/>
      <c r="Q9" s="9"/>
      <c r="R9" s="9"/>
      <c r="S9" s="9"/>
      <c r="T9" s="9"/>
      <c r="U9" s="9"/>
      <c r="V9" s="9"/>
      <c r="W9" s="9"/>
      <c r="X9" s="9"/>
      <c r="Y9" s="9"/>
      <c r="Z9" s="31">
        <f t="shared" si="1"/>
        <v>2500</v>
      </c>
      <c r="AA9" s="60" t="s">
        <v>154</v>
      </c>
      <c r="AB9" s="54"/>
      <c r="AC9" s="54"/>
      <c r="AD9" s="54"/>
      <c r="AE9" s="54"/>
      <c r="AF9" s="54"/>
      <c r="AG9" s="54"/>
      <c r="AH9" s="54"/>
    </row>
    <row r="10" spans="1:34" s="1" customFormat="1" ht="13.2" x14ac:dyDescent="0.25">
      <c r="A10" s="5">
        <v>20</v>
      </c>
      <c r="B10" s="5">
        <v>88</v>
      </c>
      <c r="C10" s="5">
        <v>0</v>
      </c>
      <c r="D10" s="7">
        <v>601.82380000000001</v>
      </c>
      <c r="E10" s="5" t="s">
        <v>57</v>
      </c>
      <c r="F10" s="5" t="s">
        <v>156</v>
      </c>
      <c r="G10" s="5" t="s">
        <v>157</v>
      </c>
      <c r="H10" s="6">
        <f>ROUND((O10*250000)+(N10*5300)+(P10*2650)+(Q10*840)+(R10*420)+(S10*840)+(T10*2750)+(U10*1300)+(V10*500)+(W10*670)+(Y10*2500),-3)</f>
        <v>3190000</v>
      </c>
      <c r="I10" s="5" t="s">
        <v>158</v>
      </c>
      <c r="J10" s="5" t="s">
        <v>159</v>
      </c>
      <c r="K10" s="5">
        <v>20171117</v>
      </c>
      <c r="L10" s="6">
        <v>1500000</v>
      </c>
      <c r="M10" s="5">
        <v>13</v>
      </c>
      <c r="N10" s="7">
        <f t="shared" si="0"/>
        <v>601.82380000000001</v>
      </c>
      <c r="O10" s="8">
        <v>0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31">
        <f t="shared" si="1"/>
        <v>3190000</v>
      </c>
      <c r="AA10" s="60" t="s">
        <v>160</v>
      </c>
      <c r="AB10" s="54"/>
      <c r="AC10" s="54"/>
      <c r="AD10" s="54"/>
      <c r="AE10" s="54"/>
      <c r="AF10" s="54"/>
      <c r="AG10" s="54"/>
      <c r="AH10" s="54"/>
    </row>
    <row r="11" spans="1:34" s="1" customFormat="1" ht="13.2" x14ac:dyDescent="0.25">
      <c r="A11" s="5">
        <v>20</v>
      </c>
      <c r="B11" s="5">
        <v>92</v>
      </c>
      <c r="C11" s="5">
        <v>20</v>
      </c>
      <c r="D11" s="7">
        <v>236.5299</v>
      </c>
      <c r="E11" s="5" t="s">
        <v>57</v>
      </c>
      <c r="F11" s="5" t="s">
        <v>161</v>
      </c>
      <c r="G11" s="5" t="s">
        <v>162</v>
      </c>
      <c r="H11" s="6">
        <f>ROUND((O11*200000)+(N11*4950)+(P11*2650)+(Q11*840)+(R11*420)+(S11*840)+(T11*2750)+(U11*1300)+(V11*500)+(W11*670)+(Y11*2500),-3)</f>
        <v>1171000</v>
      </c>
      <c r="I11" s="5" t="s">
        <v>163</v>
      </c>
      <c r="J11" s="5" t="s">
        <v>164</v>
      </c>
      <c r="K11" s="5" t="s">
        <v>165</v>
      </c>
      <c r="L11" s="6" t="s">
        <v>166</v>
      </c>
      <c r="M11" s="5">
        <v>8</v>
      </c>
      <c r="N11" s="7">
        <f t="shared" si="0"/>
        <v>236.5299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/>
      <c r="U11" s="9"/>
      <c r="V11" s="9"/>
      <c r="W11" s="9"/>
      <c r="X11" s="9"/>
      <c r="Y11" s="9"/>
      <c r="Z11" s="31">
        <f t="shared" si="1"/>
        <v>1171000</v>
      </c>
      <c r="AA11" s="60" t="s">
        <v>167</v>
      </c>
      <c r="AB11" s="54"/>
      <c r="AC11" s="54"/>
      <c r="AD11" s="54"/>
      <c r="AE11" s="54"/>
      <c r="AF11" s="54"/>
      <c r="AG11" s="54"/>
      <c r="AH11" s="54"/>
    </row>
    <row r="12" spans="1:34" s="1" customFormat="1" ht="13.2" x14ac:dyDescent="0.25">
      <c r="A12" s="5">
        <v>20</v>
      </c>
      <c r="B12" s="5">
        <v>121</v>
      </c>
      <c r="C12" s="5">
        <v>4</v>
      </c>
      <c r="D12" s="7">
        <f>84.9014-3.4226</f>
        <v>81.478799999999993</v>
      </c>
      <c r="E12" s="5" t="s">
        <v>57</v>
      </c>
      <c r="F12" s="5" t="s">
        <v>168</v>
      </c>
      <c r="G12" s="5" t="s">
        <v>145</v>
      </c>
      <c r="H12" s="6">
        <f>ROUND((O12*250000)+(N12*1000)+(P12*2650)+(Q12*840)+(R12*420)+(S12*840)+(T12*2750)+(U12*1300)+(V12*500)+(W12*670)+(Y12*2500),-3)</f>
        <v>24981000</v>
      </c>
      <c r="I12" s="5" t="s">
        <v>146</v>
      </c>
      <c r="J12" s="5" t="s">
        <v>147</v>
      </c>
      <c r="K12" s="29">
        <v>37145</v>
      </c>
      <c r="L12" s="6" t="s">
        <v>169</v>
      </c>
      <c r="M12" s="5">
        <v>7</v>
      </c>
      <c r="N12" s="7">
        <f t="shared" si="0"/>
        <v>-18.521200000000007</v>
      </c>
      <c r="O12" s="8">
        <v>100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31">
        <f t="shared" si="1"/>
        <v>24981000</v>
      </c>
      <c r="AA12" s="60" t="s">
        <v>170</v>
      </c>
      <c r="AB12" s="54"/>
      <c r="AC12" s="54"/>
      <c r="AD12" s="54"/>
      <c r="AE12" s="54"/>
      <c r="AF12" s="54"/>
      <c r="AG12" s="54"/>
      <c r="AH12" s="54"/>
    </row>
    <row r="13" spans="1:34" s="1" customFormat="1" ht="13.2" x14ac:dyDescent="0.25">
      <c r="A13" s="5">
        <v>20</v>
      </c>
      <c r="B13" s="5">
        <v>121</v>
      </c>
      <c r="C13" s="5">
        <v>16</v>
      </c>
      <c r="D13" s="7">
        <v>17.984999999999999</v>
      </c>
      <c r="E13" s="5" t="s">
        <v>171</v>
      </c>
      <c r="F13" s="5" t="s">
        <v>172</v>
      </c>
      <c r="G13" s="5" t="s">
        <v>173</v>
      </c>
      <c r="H13" s="6">
        <f>ROUND((O13*250000)+(N13*70000)+(P13*2650)+(Q13*840)+(R13*420)+(S13*840)+(T13*2750)+(U13*1300)+(V13*500)+(W13*670)+(Y13*2650),-3)</f>
        <v>4404000</v>
      </c>
      <c r="I13" s="5" t="s">
        <v>174</v>
      </c>
      <c r="J13" s="5" t="s">
        <v>175</v>
      </c>
      <c r="K13" s="5"/>
      <c r="L13" s="6"/>
      <c r="M13" s="5">
        <v>9</v>
      </c>
      <c r="N13" s="7">
        <f t="shared" si="0"/>
        <v>17.984999999999999</v>
      </c>
      <c r="O13" s="8">
        <v>0</v>
      </c>
      <c r="P13" s="9"/>
      <c r="Q13" s="9"/>
      <c r="R13" s="9">
        <v>98</v>
      </c>
      <c r="S13" s="9">
        <v>2726</v>
      </c>
      <c r="T13" s="9"/>
      <c r="U13" s="9"/>
      <c r="V13" s="9"/>
      <c r="W13" s="9"/>
      <c r="X13" s="9" t="s">
        <v>176</v>
      </c>
      <c r="Y13" s="9">
        <f>29+278</f>
        <v>307</v>
      </c>
      <c r="Z13" s="31">
        <f t="shared" si="1"/>
        <v>4404000</v>
      </c>
      <c r="AA13" s="60" t="s">
        <v>177</v>
      </c>
      <c r="AB13" s="54"/>
      <c r="AC13" s="54"/>
      <c r="AD13" s="54"/>
      <c r="AE13" s="54"/>
      <c r="AF13" s="54"/>
      <c r="AG13" s="54"/>
      <c r="AH13" s="54"/>
    </row>
    <row r="14" spans="1:34" s="1" customFormat="1" ht="13.2" x14ac:dyDescent="0.25">
      <c r="A14" s="5">
        <v>20</v>
      </c>
      <c r="B14" s="5">
        <v>121</v>
      </c>
      <c r="C14" s="5">
        <v>46</v>
      </c>
      <c r="D14" s="7">
        <v>39.157699999999998</v>
      </c>
      <c r="E14" s="5" t="s">
        <v>57</v>
      </c>
      <c r="F14" s="5" t="s">
        <v>178</v>
      </c>
      <c r="G14" s="5" t="s">
        <v>179</v>
      </c>
      <c r="H14" s="6">
        <f>ROUND((O14*250000)+(N14*3000)+(P14*2650)+(Q14*840)+(R14*420)+(S14*840)+(T14*2750)+(U14*1300)+(V14*500)+(W14*670)+(Y14*2500),-3)</f>
        <v>5804000</v>
      </c>
      <c r="I14" s="5" t="s">
        <v>180</v>
      </c>
      <c r="J14" s="5" t="s">
        <v>181</v>
      </c>
      <c r="K14" s="5"/>
      <c r="L14" s="6"/>
      <c r="M14" s="5">
        <v>9</v>
      </c>
      <c r="N14" s="7">
        <f t="shared" si="0"/>
        <v>23.337699999999998</v>
      </c>
      <c r="O14" s="8">
        <v>15.82</v>
      </c>
      <c r="P14" s="9">
        <v>350</v>
      </c>
      <c r="Q14" s="9">
        <v>49</v>
      </c>
      <c r="R14" s="9"/>
      <c r="S14" s="9"/>
      <c r="T14" s="9"/>
      <c r="U14" s="9"/>
      <c r="V14" s="9"/>
      <c r="W14" s="9"/>
      <c r="X14" s="9" t="s">
        <v>182</v>
      </c>
      <c r="Y14" s="9">
        <v>324</v>
      </c>
      <c r="Z14" s="31">
        <f t="shared" si="1"/>
        <v>5804000</v>
      </c>
      <c r="AA14" s="60" t="s">
        <v>183</v>
      </c>
      <c r="AB14" s="54"/>
      <c r="AC14" s="54"/>
      <c r="AD14" s="54"/>
      <c r="AE14" s="54"/>
      <c r="AF14" s="54"/>
      <c r="AG14" s="54"/>
      <c r="AH14" s="54"/>
    </row>
    <row r="15" spans="1:34" s="1" customFormat="1" ht="13.2" x14ac:dyDescent="0.25">
      <c r="A15" s="5">
        <v>20</v>
      </c>
      <c r="B15" s="5">
        <v>121</v>
      </c>
      <c r="C15" s="5">
        <v>81</v>
      </c>
      <c r="D15" s="7">
        <v>26.028300000000002</v>
      </c>
      <c r="E15" s="5" t="s">
        <v>184</v>
      </c>
      <c r="F15" s="5" t="s">
        <v>185</v>
      </c>
      <c r="G15" s="5" t="s">
        <v>179</v>
      </c>
      <c r="H15" s="6">
        <f>ROUND((O15*250000)+(N15*3000)+(P15*2650)+(Q15*840)+(R15*420)+(S15*840)+(T15*2750)+(U15*1300)+(V15*500)+(W15*670)+(Y15*2500),-3)</f>
        <v>6507000</v>
      </c>
      <c r="I15" s="5" t="s">
        <v>180</v>
      </c>
      <c r="J15" s="5" t="s">
        <v>181</v>
      </c>
      <c r="K15" s="5"/>
      <c r="L15" s="6"/>
      <c r="M15" s="5">
        <v>9</v>
      </c>
      <c r="N15" s="7">
        <f t="shared" si="0"/>
        <v>0</v>
      </c>
      <c r="O15" s="8">
        <v>26.028300000000002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31">
        <f t="shared" si="1"/>
        <v>6507000</v>
      </c>
      <c r="AA15" s="60" t="s">
        <v>186</v>
      </c>
      <c r="AB15" s="54"/>
      <c r="AC15" s="54"/>
      <c r="AD15" s="54"/>
      <c r="AE15" s="54"/>
      <c r="AF15" s="54"/>
      <c r="AG15" s="54"/>
      <c r="AH15" s="54"/>
    </row>
    <row r="16" spans="1:34" s="1" customFormat="1" ht="13.2" x14ac:dyDescent="0.25">
      <c r="A16" s="5">
        <v>20</v>
      </c>
      <c r="B16" s="5">
        <v>121</v>
      </c>
      <c r="C16" s="5">
        <v>95</v>
      </c>
      <c r="D16" s="7">
        <v>6.5600000000000006E-2</v>
      </c>
      <c r="E16" s="5" t="s">
        <v>184</v>
      </c>
      <c r="F16" s="5" t="s">
        <v>187</v>
      </c>
      <c r="G16" s="5" t="s">
        <v>188</v>
      </c>
      <c r="H16" s="6">
        <f>ROUND((O16*250000)+(N16*150000)+(P16*2650)+(Q16*840)+(R16*420)+(S16*840)+(T16*2750)+(U16*1300)+(V16*500)+(W16*670)+(Y16*2500),-3)</f>
        <v>1059000</v>
      </c>
      <c r="I16" s="25" t="s">
        <v>189</v>
      </c>
      <c r="J16" s="25" t="s">
        <v>190</v>
      </c>
      <c r="K16" s="25" t="s">
        <v>191</v>
      </c>
      <c r="L16" s="53">
        <v>139500</v>
      </c>
      <c r="M16" s="5">
        <v>9</v>
      </c>
      <c r="N16" s="7">
        <f t="shared" si="0"/>
        <v>6.5600000000000006E-2</v>
      </c>
      <c r="O16" s="8">
        <v>0</v>
      </c>
      <c r="P16" s="9">
        <v>396</v>
      </c>
      <c r="Q16" s="9"/>
      <c r="R16" s="9"/>
      <c r="S16" s="9"/>
      <c r="T16" s="9"/>
      <c r="U16" s="9"/>
      <c r="V16" s="9"/>
      <c r="W16" s="9"/>
      <c r="X16" s="9"/>
      <c r="Y16" s="9"/>
      <c r="Z16" s="31">
        <f t="shared" si="1"/>
        <v>1059000</v>
      </c>
      <c r="AA16" s="60" t="s">
        <v>192</v>
      </c>
      <c r="AB16" s="54"/>
      <c r="AC16" s="54"/>
      <c r="AD16" s="54"/>
      <c r="AE16" s="54"/>
      <c r="AF16" s="54"/>
      <c r="AG16" s="54"/>
      <c r="AH16" s="54"/>
    </row>
    <row r="17" spans="1:34" s="1" customFormat="1" ht="13.2" x14ac:dyDescent="0.25">
      <c r="A17" s="5">
        <v>25</v>
      </c>
      <c r="B17" s="5">
        <v>121</v>
      </c>
      <c r="C17" s="5">
        <v>108</v>
      </c>
      <c r="D17" s="7">
        <v>3.4226000000000001</v>
      </c>
      <c r="E17" s="5" t="s">
        <v>79</v>
      </c>
      <c r="F17" s="5" t="s">
        <v>193</v>
      </c>
      <c r="G17" s="5" t="s">
        <v>150</v>
      </c>
      <c r="H17" s="6">
        <f>ROUND((D17*600)-100,-2)</f>
        <v>2000</v>
      </c>
      <c r="I17" s="25" t="s">
        <v>151</v>
      </c>
      <c r="J17" s="5" t="s">
        <v>152</v>
      </c>
      <c r="K17" s="29">
        <v>37601</v>
      </c>
      <c r="L17" s="6" t="s">
        <v>153</v>
      </c>
      <c r="M17" s="5"/>
      <c r="N17" s="7">
        <f t="shared" si="0"/>
        <v>3.4226000000000001</v>
      </c>
      <c r="O17" s="8">
        <v>0</v>
      </c>
      <c r="P17" s="9"/>
      <c r="Q17" s="9"/>
      <c r="R17" s="9"/>
      <c r="S17" s="9"/>
      <c r="T17" s="9"/>
      <c r="U17" s="9"/>
      <c r="V17" s="9"/>
      <c r="W17" s="9"/>
      <c r="X17" s="9"/>
      <c r="Y17" s="9"/>
      <c r="Z17" s="31">
        <f t="shared" si="1"/>
        <v>2000</v>
      </c>
      <c r="AA17" s="60" t="s">
        <v>194</v>
      </c>
      <c r="AB17" s="54"/>
      <c r="AC17" s="54"/>
      <c r="AD17" s="54"/>
      <c r="AE17" s="54"/>
      <c r="AF17" s="54"/>
      <c r="AG17" s="54"/>
      <c r="AH17" s="54"/>
    </row>
    <row r="18" spans="1:34" s="1" customFormat="1" ht="13.2" x14ac:dyDescent="0.25">
      <c r="A18" s="5">
        <v>25</v>
      </c>
      <c r="B18" s="5">
        <v>121</v>
      </c>
      <c r="C18" s="5">
        <v>113</v>
      </c>
      <c r="D18" s="7">
        <v>1.9664999999999999</v>
      </c>
      <c r="E18" s="5" t="s">
        <v>79</v>
      </c>
      <c r="F18" s="5" t="s">
        <v>195</v>
      </c>
      <c r="G18" s="5" t="s">
        <v>150</v>
      </c>
      <c r="H18" s="6">
        <f>ROUND((D18*600)-200,-2)</f>
        <v>1000</v>
      </c>
      <c r="I18" s="25" t="s">
        <v>151</v>
      </c>
      <c r="J18" s="5" t="s">
        <v>152</v>
      </c>
      <c r="K18" s="29">
        <v>37601</v>
      </c>
      <c r="L18" s="6" t="s">
        <v>153</v>
      </c>
      <c r="M18" s="5"/>
      <c r="N18" s="7">
        <f t="shared" si="0"/>
        <v>1.9664999999999999</v>
      </c>
      <c r="O18" s="8">
        <v>0</v>
      </c>
      <c r="P18" s="9"/>
      <c r="Q18" s="9"/>
      <c r="R18" s="9"/>
      <c r="S18" s="9"/>
      <c r="T18" s="9"/>
      <c r="U18" s="9"/>
      <c r="V18" s="9"/>
      <c r="W18" s="9"/>
      <c r="X18" s="9"/>
      <c r="Y18" s="9"/>
      <c r="Z18" s="31">
        <f t="shared" si="1"/>
        <v>1000</v>
      </c>
      <c r="AA18" s="60" t="s">
        <v>196</v>
      </c>
      <c r="AB18" s="54"/>
      <c r="AC18" s="54"/>
      <c r="AD18" s="54"/>
      <c r="AE18" s="54"/>
      <c r="AF18" s="54"/>
      <c r="AG18" s="54"/>
      <c r="AH18" s="54"/>
    </row>
    <row r="19" spans="1:34" s="1" customFormat="1" ht="13.2" x14ac:dyDescent="0.25">
      <c r="A19" s="5">
        <v>25</v>
      </c>
      <c r="B19" s="5">
        <v>121</v>
      </c>
      <c r="C19" s="5">
        <v>115</v>
      </c>
      <c r="D19" s="7">
        <v>0.97489999999999999</v>
      </c>
      <c r="E19" s="5" t="s">
        <v>79</v>
      </c>
      <c r="F19" s="5" t="s">
        <v>197</v>
      </c>
      <c r="G19" s="5" t="s">
        <v>150</v>
      </c>
      <c r="H19" s="6">
        <f>ROUND((D19*600)-100,-2)</f>
        <v>500</v>
      </c>
      <c r="I19" s="25" t="s">
        <v>151</v>
      </c>
      <c r="J19" s="5" t="s">
        <v>152</v>
      </c>
      <c r="K19" s="29">
        <v>37601</v>
      </c>
      <c r="L19" s="6" t="s">
        <v>153</v>
      </c>
      <c r="M19" s="5"/>
      <c r="N19" s="7" t="e">
        <f>#REF!-O19</f>
        <v>#REF!</v>
      </c>
      <c r="O19" s="8">
        <v>0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31">
        <f t="shared" ref="Z19:Z20" si="2">+H19</f>
        <v>500</v>
      </c>
      <c r="AA19" s="60" t="s">
        <v>198</v>
      </c>
      <c r="AB19" s="54"/>
      <c r="AC19" s="54"/>
      <c r="AD19" s="54"/>
      <c r="AE19" s="54"/>
      <c r="AF19" s="54"/>
      <c r="AG19" s="54"/>
      <c r="AH19" s="54"/>
    </row>
    <row r="20" spans="1:34" s="1" customFormat="1" ht="13.2" x14ac:dyDescent="0.25">
      <c r="A20" s="5">
        <v>25</v>
      </c>
      <c r="B20" s="5">
        <v>121</v>
      </c>
      <c r="C20" s="5">
        <v>117</v>
      </c>
      <c r="D20" s="7">
        <v>0.2346</v>
      </c>
      <c r="E20" s="5" t="s">
        <v>79</v>
      </c>
      <c r="F20" s="5" t="s">
        <v>199</v>
      </c>
      <c r="G20" s="5" t="s">
        <v>150</v>
      </c>
      <c r="H20" s="6">
        <f>ROUND((D20*600)+400,-2)</f>
        <v>500</v>
      </c>
      <c r="I20" s="25" t="s">
        <v>151</v>
      </c>
      <c r="J20" s="5" t="s">
        <v>152</v>
      </c>
      <c r="K20" s="29">
        <v>37601</v>
      </c>
      <c r="L20" s="6" t="s">
        <v>153</v>
      </c>
      <c r="M20" s="5"/>
      <c r="N20" s="7">
        <f>D19-O20</f>
        <v>0.97489999999999999</v>
      </c>
      <c r="O20" s="8">
        <v>0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31">
        <f t="shared" si="2"/>
        <v>500</v>
      </c>
      <c r="AA20" s="60" t="s">
        <v>200</v>
      </c>
      <c r="AB20" s="54"/>
      <c r="AC20" s="54"/>
      <c r="AD20" s="54"/>
      <c r="AE20" s="54"/>
      <c r="AF20" s="54"/>
      <c r="AG20" s="54"/>
      <c r="AH20" s="54"/>
    </row>
    <row r="21" spans="1:34" s="1" customFormat="1" ht="13.2" x14ac:dyDescent="0.25">
      <c r="A21" s="5">
        <v>20</v>
      </c>
      <c r="B21" s="5">
        <v>122</v>
      </c>
      <c r="C21" s="5">
        <v>11</v>
      </c>
      <c r="D21" s="7">
        <v>21.489000000000001</v>
      </c>
      <c r="E21" s="5" t="s">
        <v>57</v>
      </c>
      <c r="F21" s="5" t="s">
        <v>201</v>
      </c>
      <c r="G21" s="5" t="s">
        <v>179</v>
      </c>
      <c r="H21" s="6">
        <f>ROUND((O21*250000)+(N21*3000)+(P21*2650)+(Q21*840)+(R21*420)+(S21*840)+(T21*2750)+(U21*1300)+(V21*500)+(W21*670)+(Y21*2500),-3)</f>
        <v>5054000</v>
      </c>
      <c r="I21" s="5" t="s">
        <v>180</v>
      </c>
      <c r="J21" s="5" t="s">
        <v>181</v>
      </c>
      <c r="K21" s="5"/>
      <c r="L21" s="6"/>
      <c r="M21" s="5">
        <v>9</v>
      </c>
      <c r="N21" s="7">
        <f t="shared" si="0"/>
        <v>1.2890000000000015</v>
      </c>
      <c r="O21" s="8">
        <v>20.2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31">
        <f>+H21</f>
        <v>5054000</v>
      </c>
      <c r="AA21" s="60" t="s">
        <v>186</v>
      </c>
      <c r="AB21" s="54"/>
      <c r="AC21" s="54"/>
      <c r="AD21" s="54"/>
      <c r="AE21" s="54"/>
      <c r="AF21" s="54"/>
      <c r="AG21" s="54"/>
      <c r="AH21" s="54"/>
    </row>
    <row r="22" spans="1:34" s="1" customFormat="1" ht="13.2" x14ac:dyDescent="0.25">
      <c r="A22" s="5">
        <v>20</v>
      </c>
      <c r="B22" s="5">
        <v>122</v>
      </c>
      <c r="C22" s="5">
        <v>18</v>
      </c>
      <c r="D22" s="7">
        <v>1.0528999999999999</v>
      </c>
      <c r="E22" s="5" t="s">
        <v>57</v>
      </c>
      <c r="F22" s="5" t="s">
        <v>202</v>
      </c>
      <c r="G22" s="5" t="s">
        <v>179</v>
      </c>
      <c r="H22" s="6">
        <f>ROUND((O22*250000)+(N22*3000)+(P22*2650)+(Q22*840)+(R22*420)+(S22*840)+(T22*2750)+(U22*1300)+(V22*500)+(W22*670)+(Y22*2500),-3)</f>
        <v>263000</v>
      </c>
      <c r="I22" s="5" t="s">
        <v>180</v>
      </c>
      <c r="J22" s="5" t="s">
        <v>181</v>
      </c>
      <c r="K22" s="5"/>
      <c r="L22" s="6"/>
      <c r="M22" s="5">
        <v>9</v>
      </c>
      <c r="N22" s="7">
        <f t="shared" si="0"/>
        <v>2.8999999999999027E-3</v>
      </c>
      <c r="O22" s="8">
        <v>1.05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31">
        <f>+H22</f>
        <v>263000</v>
      </c>
      <c r="AA22" s="60" t="s">
        <v>186</v>
      </c>
      <c r="AB22" s="54"/>
      <c r="AC22" s="54"/>
      <c r="AD22" s="54"/>
      <c r="AE22" s="54"/>
      <c r="AF22" s="54"/>
      <c r="AG22" s="54"/>
      <c r="AH22" s="54"/>
    </row>
    <row r="23" spans="1:34" s="1" customFormat="1" ht="13.2" x14ac:dyDescent="0.25">
      <c r="A23" s="5">
        <v>20</v>
      </c>
      <c r="B23" s="5">
        <v>122</v>
      </c>
      <c r="C23" s="5">
        <v>26</v>
      </c>
      <c r="D23" s="7">
        <v>10.855499999999999</v>
      </c>
      <c r="E23" s="5" t="s">
        <v>57</v>
      </c>
      <c r="F23" s="5" t="s">
        <v>203</v>
      </c>
      <c r="G23" s="5" t="s">
        <v>179</v>
      </c>
      <c r="H23" s="6">
        <f>ROUND((O23*250000)+(N23*3000)+(P23*2650)+(Q23*840)+(R23*420)+(S23*840)+(T23*2750)+(U23*1300)+(V23*500)+(W23*670)+(Y23*2500),-3)</f>
        <v>2503000</v>
      </c>
      <c r="I23" s="5" t="s">
        <v>180</v>
      </c>
      <c r="J23" s="5" t="s">
        <v>181</v>
      </c>
      <c r="K23" s="5"/>
      <c r="L23" s="6"/>
      <c r="M23" s="5">
        <v>9</v>
      </c>
      <c r="N23" s="7">
        <f t="shared" si="0"/>
        <v>0.85549999999999926</v>
      </c>
      <c r="O23" s="8">
        <v>10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31">
        <f>+H23</f>
        <v>2503000</v>
      </c>
      <c r="AA23" s="60" t="s">
        <v>186</v>
      </c>
      <c r="AB23" s="54"/>
      <c r="AC23" s="54"/>
      <c r="AD23" s="54"/>
      <c r="AE23" s="54"/>
      <c r="AF23" s="54"/>
      <c r="AG23" s="54"/>
      <c r="AH23" s="54"/>
    </row>
    <row r="24" spans="1:34" s="1" customFormat="1" ht="13.2" x14ac:dyDescent="0.25">
      <c r="A24" s="5">
        <v>20</v>
      </c>
      <c r="B24" s="5">
        <v>124</v>
      </c>
      <c r="C24" s="5">
        <v>2</v>
      </c>
      <c r="D24" s="7">
        <v>101.36199999999999</v>
      </c>
      <c r="E24" s="5" t="s">
        <v>57</v>
      </c>
      <c r="F24" s="5" t="s">
        <v>204</v>
      </c>
      <c r="G24" s="5" t="s">
        <v>85</v>
      </c>
      <c r="H24" s="6">
        <f>ROUND((O24*250000)+(N24*1000)+(P24*2650)+(Q24*840)+(R24*420)+(S24*840)+(T24*2750)+(U24*1300)+(V24*500)+(W24*670)+(Y24*2500),-3)</f>
        <v>13796000</v>
      </c>
      <c r="I24" s="25" t="s">
        <v>86</v>
      </c>
      <c r="J24" s="25" t="s">
        <v>205</v>
      </c>
      <c r="K24" s="25" t="s">
        <v>88</v>
      </c>
      <c r="L24" s="53">
        <v>980000</v>
      </c>
      <c r="M24" s="5">
        <v>12</v>
      </c>
      <c r="N24" s="7">
        <f t="shared" si="0"/>
        <v>46.361999999999995</v>
      </c>
      <c r="O24" s="8">
        <v>55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31">
        <f>+H24</f>
        <v>13796000</v>
      </c>
      <c r="AA24" s="60" t="s">
        <v>89</v>
      </c>
      <c r="AB24" s="54"/>
      <c r="AC24" s="54"/>
      <c r="AD24" s="54"/>
      <c r="AE24" s="54"/>
      <c r="AF24" s="54"/>
      <c r="AG24" s="54"/>
      <c r="AH24" s="54"/>
    </row>
    <row r="25" spans="1:34" s="1" customFormat="1" ht="13.2" x14ac:dyDescent="0.25">
      <c r="A25" s="5">
        <v>20</v>
      </c>
      <c r="B25" s="5">
        <v>166</v>
      </c>
      <c r="C25" s="5">
        <v>1</v>
      </c>
      <c r="D25" s="7">
        <v>1551.2475999999999</v>
      </c>
      <c r="E25" s="5" t="s">
        <v>57</v>
      </c>
      <c r="F25" s="5" t="s">
        <v>206</v>
      </c>
      <c r="G25" s="5" t="s">
        <v>85</v>
      </c>
      <c r="H25" s="6">
        <f>ROUND((O25*250000)+(N25*4100)+(P25*2650)+(Q25*840)+(R25*420)+(S25*840)+(T25*2750)+(U25*1300)+(V25*500)+(W25*670)+(Y25*2500),-3)</f>
        <v>7936000</v>
      </c>
      <c r="I25" s="25" t="s">
        <v>86</v>
      </c>
      <c r="J25" s="25" t="s">
        <v>207</v>
      </c>
      <c r="K25" s="25" t="s">
        <v>88</v>
      </c>
      <c r="L25" s="53">
        <v>2436000</v>
      </c>
      <c r="M25" s="5">
        <v>12</v>
      </c>
      <c r="N25" s="7">
        <f t="shared" si="0"/>
        <v>1551.2475999999999</v>
      </c>
      <c r="O25" s="8">
        <v>0</v>
      </c>
      <c r="P25" s="9">
        <v>444</v>
      </c>
      <c r="Q25" s="9">
        <v>60</v>
      </c>
      <c r="R25" s="9"/>
      <c r="S25" s="9">
        <v>256</v>
      </c>
      <c r="T25" s="9"/>
      <c r="U25" s="9"/>
      <c r="V25" s="9"/>
      <c r="W25" s="9">
        <v>200</v>
      </c>
      <c r="X25" s="9"/>
      <c r="Y25" s="9"/>
      <c r="Z25" s="31">
        <f>+H25</f>
        <v>7936000</v>
      </c>
      <c r="AA25" s="60" t="s">
        <v>89</v>
      </c>
      <c r="AB25" s="54"/>
      <c r="AC25" s="54"/>
      <c r="AD25" s="54"/>
      <c r="AE25" s="54"/>
      <c r="AF25" s="54"/>
      <c r="AG25" s="54"/>
      <c r="AH25" s="54"/>
    </row>
    <row r="26" spans="1:34" s="1" customFormat="1" ht="13.2" x14ac:dyDescent="0.25">
      <c r="A26" s="5">
        <v>20</v>
      </c>
      <c r="B26" s="5">
        <v>215</v>
      </c>
      <c r="C26" s="5">
        <v>0</v>
      </c>
      <c r="D26" s="7">
        <v>64.593900000000005</v>
      </c>
      <c r="E26" s="5" t="s">
        <v>57</v>
      </c>
      <c r="F26" s="5" t="s">
        <v>208</v>
      </c>
      <c r="G26" s="5" t="s">
        <v>85</v>
      </c>
      <c r="H26" s="6">
        <f>ROUND((O26*250000)+(N26*4100)+(P26*2650)+(Q26*840)+(R26*420)+(S26*840)+(T26*2750)+(U26*1300)+(V26*500)+(W26*670)+(Y26*2500),-3)</f>
        <v>265000</v>
      </c>
      <c r="I26" s="5" t="s">
        <v>209</v>
      </c>
      <c r="J26" s="5" t="s">
        <v>210</v>
      </c>
      <c r="K26" s="5"/>
      <c r="L26" s="6"/>
      <c r="M26" s="5">
        <v>12</v>
      </c>
      <c r="N26" s="7">
        <f t="shared" si="0"/>
        <v>64.593900000000005</v>
      </c>
      <c r="O26" s="8">
        <v>0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31">
        <f t="shared" ref="Z26:Z27" si="3">+H26</f>
        <v>265000</v>
      </c>
      <c r="AA26" s="60" t="s">
        <v>211</v>
      </c>
      <c r="AB26" s="54"/>
      <c r="AC26" s="54"/>
      <c r="AD26" s="54"/>
      <c r="AE26" s="54"/>
      <c r="AF26" s="54"/>
      <c r="AG26" s="54"/>
      <c r="AH26" s="54"/>
    </row>
    <row r="27" spans="1:34" s="1" customFormat="1" ht="13.2" x14ac:dyDescent="0.25">
      <c r="A27" s="5">
        <v>25</v>
      </c>
      <c r="B27" s="5">
        <v>216</v>
      </c>
      <c r="C27" s="5">
        <v>0</v>
      </c>
      <c r="D27" s="7">
        <v>704.95150000000001</v>
      </c>
      <c r="E27" s="5" t="s">
        <v>57</v>
      </c>
      <c r="F27" s="5" t="s">
        <v>212</v>
      </c>
      <c r="G27" s="5" t="s">
        <v>85</v>
      </c>
      <c r="H27" s="6">
        <f>ROUND((O27*250000)+(N27*4100)+(P27*2650)+(Q27*840)+(R27*420)+(S27*840)+(T27*2750)+(U27*1300)+(V27*500)+(W27*670)+(Y27*2500),-3)</f>
        <v>2890000</v>
      </c>
      <c r="I27" s="25" t="s">
        <v>86</v>
      </c>
      <c r="J27" s="25" t="s">
        <v>207</v>
      </c>
      <c r="K27" s="25" t="s">
        <v>88</v>
      </c>
      <c r="L27" s="53">
        <v>2436000</v>
      </c>
      <c r="M27" s="5">
        <v>12</v>
      </c>
      <c r="N27" s="7">
        <f t="shared" si="0"/>
        <v>704.95150000000001</v>
      </c>
      <c r="O27" s="8">
        <v>0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31">
        <f t="shared" si="3"/>
        <v>2890000</v>
      </c>
      <c r="AA27" s="60" t="s">
        <v>89</v>
      </c>
      <c r="AB27" s="54"/>
      <c r="AC27" s="54"/>
      <c r="AD27" s="54"/>
      <c r="AE27" s="54"/>
      <c r="AF27" s="54"/>
      <c r="AG27" s="54"/>
      <c r="AH27" s="54"/>
    </row>
    <row r="28" spans="1:34" s="1" customFormat="1" ht="13.2" x14ac:dyDescent="0.25">
      <c r="A28" s="5">
        <v>20</v>
      </c>
      <c r="B28" s="5">
        <v>219</v>
      </c>
      <c r="C28" s="5">
        <v>0</v>
      </c>
      <c r="D28" s="7">
        <v>16.333300000000001</v>
      </c>
      <c r="E28" s="5" t="s">
        <v>213</v>
      </c>
      <c r="F28" s="5" t="s">
        <v>214</v>
      </c>
      <c r="G28" s="5" t="s">
        <v>215</v>
      </c>
      <c r="H28" s="6">
        <f>ROUND((O28*75000)+(N28*33000)+(P28*2650)+(Q28*840)+(R28*420)+(S28*840)+(T28*2750)+(U28*1300)+(V28*500)+(W28*670)+(Y28*2500),-3)</f>
        <v>3918000</v>
      </c>
      <c r="I28" s="25" t="s">
        <v>216</v>
      </c>
      <c r="J28" s="25" t="s">
        <v>217</v>
      </c>
      <c r="K28" s="25" t="s">
        <v>218</v>
      </c>
      <c r="L28" s="53">
        <v>2300000</v>
      </c>
      <c r="M28" s="5">
        <v>12</v>
      </c>
      <c r="N28" s="7">
        <f t="shared" si="0"/>
        <v>13.333300000000001</v>
      </c>
      <c r="O28" s="8">
        <v>3</v>
      </c>
      <c r="P28" s="9">
        <v>293</v>
      </c>
      <c r="Q28" s="9">
        <v>211</v>
      </c>
      <c r="R28" s="9"/>
      <c r="S28" s="9">
        <v>363</v>
      </c>
      <c r="T28" s="9">
        <v>577</v>
      </c>
      <c r="U28" s="9">
        <v>21</v>
      </c>
      <c r="V28" s="9"/>
      <c r="W28" s="9"/>
      <c r="X28" s="9" t="s">
        <v>219</v>
      </c>
      <c r="Y28" s="9">
        <v>152</v>
      </c>
      <c r="Z28" s="31">
        <f>+H28</f>
        <v>3918000</v>
      </c>
      <c r="AA28" s="60" t="s">
        <v>220</v>
      </c>
      <c r="AB28" s="54"/>
      <c r="AC28" s="54"/>
      <c r="AD28" s="54"/>
      <c r="AE28" s="54"/>
      <c r="AF28" s="54"/>
      <c r="AG28" s="54"/>
      <c r="AH28" s="54"/>
    </row>
    <row r="29" spans="1:34" s="1" customFormat="1" ht="12.75" x14ac:dyDescent="0.2">
      <c r="A29" s="5">
        <v>20</v>
      </c>
      <c r="B29" s="5">
        <v>219</v>
      </c>
      <c r="C29" s="5">
        <v>2</v>
      </c>
      <c r="D29" s="7">
        <v>500.2808</v>
      </c>
      <c r="E29" s="5" t="s">
        <v>57</v>
      </c>
      <c r="F29" s="5" t="s">
        <v>221</v>
      </c>
      <c r="G29" s="5" t="s">
        <v>222</v>
      </c>
      <c r="H29" s="6">
        <f>ROUND((O29*200000)+(N29*2200)+(P29*2650)+(Q29*840)+(R29*420)+(S29*840)+(T29*2750)+(U29*1300)+(V29*500)+(W29*670)+(Y29*2650),-3)</f>
        <v>10002000</v>
      </c>
      <c r="I29" s="5" t="s">
        <v>223</v>
      </c>
      <c r="J29" s="5" t="s">
        <v>224</v>
      </c>
      <c r="K29" s="5" t="s">
        <v>225</v>
      </c>
      <c r="L29" s="6">
        <v>17871700</v>
      </c>
      <c r="M29" s="5">
        <v>12</v>
      </c>
      <c r="N29" s="7">
        <f t="shared" si="0"/>
        <v>455.2808</v>
      </c>
      <c r="O29" s="8">
        <v>45</v>
      </c>
      <c r="P29" s="9"/>
      <c r="Q29" s="9"/>
      <c r="R29" s="9"/>
      <c r="S29" s="9"/>
      <c r="T29" s="9"/>
      <c r="U29" s="9"/>
      <c r="V29" s="9"/>
      <c r="W29" s="9"/>
      <c r="X29" s="9"/>
      <c r="Y29" s="9"/>
      <c r="Z29" s="31">
        <f>+H29</f>
        <v>10002000</v>
      </c>
      <c r="AA29" s="60" t="s">
        <v>226</v>
      </c>
      <c r="AB29" s="54"/>
      <c r="AC29" s="54"/>
      <c r="AD29" s="54"/>
      <c r="AE29" s="54"/>
      <c r="AF29" s="54"/>
      <c r="AG29" s="54"/>
      <c r="AH29" s="54"/>
    </row>
    <row r="30" spans="1:34" s="1" customFormat="1" ht="12.75" x14ac:dyDescent="0.2">
      <c r="A30" s="5">
        <v>20</v>
      </c>
      <c r="B30" s="5">
        <v>219</v>
      </c>
      <c r="C30" s="5">
        <v>3</v>
      </c>
      <c r="D30" s="7">
        <f>10.5869-1.7608</f>
        <v>8.8261000000000003</v>
      </c>
      <c r="E30" s="5" t="s">
        <v>57</v>
      </c>
      <c r="F30" s="5" t="s">
        <v>227</v>
      </c>
      <c r="G30" s="5" t="s">
        <v>228</v>
      </c>
      <c r="H30" s="6">
        <f>ROUND((O30*250000)+(N30*7500)+(P30*2650)+(Q30*840)+(R30*420)+(S30*840)+(T30*2750)+(U30*1300)+(V30*500)+(W30*670)+(Y30*2500),-3)</f>
        <v>66000</v>
      </c>
      <c r="I30" s="5" t="s">
        <v>229</v>
      </c>
      <c r="J30" s="5" t="s">
        <v>230</v>
      </c>
      <c r="K30" s="5"/>
      <c r="L30" s="6"/>
      <c r="M30" s="5"/>
      <c r="N30" s="7">
        <f t="shared" si="0"/>
        <v>8.8261000000000003</v>
      </c>
      <c r="O30" s="8">
        <v>0</v>
      </c>
      <c r="P30" s="9"/>
      <c r="Q30" s="9"/>
      <c r="R30" s="9"/>
      <c r="S30" s="9"/>
      <c r="T30" s="9"/>
      <c r="U30" s="9"/>
      <c r="V30" s="9"/>
      <c r="W30" s="9"/>
      <c r="X30" s="9"/>
      <c r="Y30" s="9"/>
      <c r="Z30" s="31">
        <f>+H30</f>
        <v>66000</v>
      </c>
      <c r="AA30" s="60" t="s">
        <v>231</v>
      </c>
      <c r="AB30" s="54"/>
      <c r="AC30" s="54"/>
      <c r="AD30" s="54"/>
      <c r="AE30" s="54"/>
      <c r="AF30" s="54"/>
      <c r="AG30" s="54"/>
      <c r="AH30" s="54"/>
    </row>
    <row r="31" spans="1:34" s="1" customFormat="1" ht="12.75" x14ac:dyDescent="0.2">
      <c r="A31" s="5">
        <v>20</v>
      </c>
      <c r="B31" s="5">
        <v>219</v>
      </c>
      <c r="C31" s="5">
        <v>9</v>
      </c>
      <c r="D31" s="7">
        <v>1.7607999999999999</v>
      </c>
      <c r="E31" s="5" t="s">
        <v>79</v>
      </c>
      <c r="F31" s="5" t="s">
        <v>233</v>
      </c>
      <c r="G31" s="5"/>
      <c r="H31" s="6">
        <f>ROUND((O31*250000)+(N31*600)+(P31*2650)+(Q31*840)+(R31*420)+(S31*840)+(T31*2750)+(U31*1300)+(V31*500)+(W31*670)+(Y31*2500),-3)</f>
        <v>1000</v>
      </c>
      <c r="I31" s="25" t="s">
        <v>151</v>
      </c>
      <c r="J31" s="25" t="s">
        <v>234</v>
      </c>
      <c r="K31" s="5"/>
      <c r="L31" s="53"/>
      <c r="M31" s="5"/>
      <c r="N31" s="7">
        <f t="shared" si="0"/>
        <v>1.7607999999999999</v>
      </c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31">
        <f>+H31</f>
        <v>1000</v>
      </c>
      <c r="AA31" s="60" t="s">
        <v>235</v>
      </c>
      <c r="AB31" s="54"/>
      <c r="AC31" s="54"/>
      <c r="AD31" s="54"/>
      <c r="AE31" s="54"/>
      <c r="AF31" s="54"/>
      <c r="AG31" s="54"/>
      <c r="AH31" s="54"/>
    </row>
    <row r="32" spans="1:34" s="1" customFormat="1" ht="12.75" x14ac:dyDescent="0.2">
      <c r="A32" s="5">
        <v>20</v>
      </c>
      <c r="B32" s="5">
        <v>226</v>
      </c>
      <c r="C32" s="5">
        <v>1</v>
      </c>
      <c r="D32" s="7"/>
      <c r="E32" s="5"/>
      <c r="F32" s="5"/>
      <c r="G32" s="5" t="s">
        <v>236</v>
      </c>
      <c r="H32" s="6">
        <v>0</v>
      </c>
      <c r="I32" s="5" t="s">
        <v>237</v>
      </c>
      <c r="J32" s="5"/>
      <c r="K32" s="5"/>
      <c r="L32" s="6"/>
      <c r="M32" s="5">
        <v>13</v>
      </c>
      <c r="N32" s="7">
        <f t="shared" si="0"/>
        <v>0</v>
      </c>
      <c r="O32" s="8">
        <v>0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15">
        <v>0</v>
      </c>
      <c r="AA32" s="60" t="s">
        <v>238</v>
      </c>
      <c r="AB32" s="54"/>
      <c r="AC32" s="54"/>
      <c r="AD32" s="54"/>
      <c r="AE32" s="54"/>
      <c r="AF32" s="54"/>
      <c r="AG32" s="54"/>
      <c r="AH32" s="54"/>
    </row>
    <row r="33" spans="1:34" s="1" customFormat="1" ht="12.75" x14ac:dyDescent="0.2">
      <c r="A33" s="5">
        <v>20</v>
      </c>
      <c r="B33" s="5">
        <v>226</v>
      </c>
      <c r="C33" s="5">
        <v>2</v>
      </c>
      <c r="D33" s="7"/>
      <c r="E33" s="5"/>
      <c r="F33" s="5"/>
      <c r="G33" s="5" t="s">
        <v>236</v>
      </c>
      <c r="H33" s="6">
        <v>0</v>
      </c>
      <c r="I33" s="5" t="s">
        <v>239</v>
      </c>
      <c r="J33" s="5"/>
      <c r="K33" s="5"/>
      <c r="L33" s="6"/>
      <c r="M33" s="5">
        <v>13</v>
      </c>
      <c r="N33" s="7">
        <f t="shared" si="0"/>
        <v>0</v>
      </c>
      <c r="O33" s="8">
        <v>0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15">
        <v>0</v>
      </c>
      <c r="AA33" s="60" t="s">
        <v>240</v>
      </c>
      <c r="AB33" s="54"/>
      <c r="AC33" s="54"/>
      <c r="AD33" s="54"/>
      <c r="AE33" s="54"/>
      <c r="AF33" s="54"/>
      <c r="AG33" s="54"/>
      <c r="AH33" s="54"/>
    </row>
    <row r="34" spans="1:34" s="1" customFormat="1" ht="12.75" x14ac:dyDescent="0.2">
      <c r="A34" s="5">
        <v>20</v>
      </c>
      <c r="B34" s="5">
        <v>226</v>
      </c>
      <c r="C34" s="5">
        <v>3</v>
      </c>
      <c r="D34" s="7">
        <v>634.21500000000003</v>
      </c>
      <c r="E34" s="5" t="s">
        <v>57</v>
      </c>
      <c r="F34" s="5" t="s">
        <v>241</v>
      </c>
      <c r="G34" s="5" t="s">
        <v>236</v>
      </c>
      <c r="H34" s="6">
        <f>ROUND((O34*250000)+(N34*6150)+(P34*2650)+(Q34*840)+(R34*420)+(S34*840)+(T34*2750)+(U34*1300)+(V34*500)+(W34*670)+(Y34*2500),-3)</f>
        <v>3900000</v>
      </c>
      <c r="I34" s="5" t="s">
        <v>239</v>
      </c>
      <c r="J34" s="5"/>
      <c r="K34" s="5"/>
      <c r="L34" s="6"/>
      <c r="M34" s="5">
        <v>13</v>
      </c>
      <c r="N34" s="7">
        <f t="shared" si="0"/>
        <v>634.21500000000003</v>
      </c>
      <c r="O34" s="8">
        <v>0</v>
      </c>
      <c r="P34" s="9"/>
      <c r="Q34" s="9"/>
      <c r="R34" s="9"/>
      <c r="S34" s="9"/>
      <c r="T34" s="9"/>
      <c r="U34" s="9"/>
      <c r="V34" s="9"/>
      <c r="W34" s="9"/>
      <c r="X34" s="9"/>
      <c r="Y34" s="9"/>
      <c r="Z34" s="31">
        <f t="shared" ref="Z34:Z43" si="4">+H34</f>
        <v>3900000</v>
      </c>
      <c r="AA34" s="60" t="s">
        <v>238</v>
      </c>
      <c r="AB34" s="54"/>
      <c r="AC34" s="54"/>
      <c r="AD34" s="54"/>
      <c r="AE34" s="54"/>
      <c r="AF34" s="54"/>
      <c r="AG34" s="54"/>
      <c r="AH34" s="54"/>
    </row>
    <row r="35" spans="1:34" s="1" customFormat="1" ht="12.75" x14ac:dyDescent="0.2">
      <c r="A35" s="5">
        <v>25</v>
      </c>
      <c r="B35" s="5">
        <v>250</v>
      </c>
      <c r="C35" s="5">
        <v>1</v>
      </c>
      <c r="D35" s="7">
        <v>2090.9944999999998</v>
      </c>
      <c r="E35" s="5" t="s">
        <v>57</v>
      </c>
      <c r="F35" s="5" t="s">
        <v>242</v>
      </c>
      <c r="G35" s="5" t="s">
        <v>243</v>
      </c>
      <c r="H35" s="6">
        <f>ROUND((O35*60000)+(N35*4950)+(P35*4725)+(Q35*840)+(R35*420)+(S35*840)+(T35*2750)+(U35*1300)+(V35*500)+(W35*670)+(Y35*1400),-3)</f>
        <v>13809000</v>
      </c>
      <c r="I35" s="46" t="s">
        <v>244</v>
      </c>
      <c r="J35" s="46" t="s">
        <v>245</v>
      </c>
      <c r="K35" s="25">
        <v>20130619</v>
      </c>
      <c r="L35" s="53">
        <v>9000000</v>
      </c>
      <c r="M35" s="5">
        <v>8</v>
      </c>
      <c r="N35" s="7">
        <f t="shared" si="0"/>
        <v>2050.9944999999998</v>
      </c>
      <c r="O35" s="8">
        <v>40</v>
      </c>
      <c r="P35" s="9">
        <v>266</v>
      </c>
      <c r="Q35" s="9"/>
      <c r="R35" s="9"/>
      <c r="S35" s="9"/>
      <c r="T35" s="9"/>
      <c r="U35" s="9"/>
      <c r="V35" s="9"/>
      <c r="W35" s="9"/>
      <c r="X35" s="9"/>
      <c r="Y35" s="9"/>
      <c r="Z35" s="31">
        <f t="shared" si="4"/>
        <v>13809000</v>
      </c>
      <c r="AA35" s="60" t="s">
        <v>246</v>
      </c>
      <c r="AB35" s="54"/>
      <c r="AC35" s="54"/>
      <c r="AD35" s="54"/>
      <c r="AE35" s="54"/>
      <c r="AF35" s="54"/>
      <c r="AG35" s="54"/>
      <c r="AH35" s="54"/>
    </row>
    <row r="36" spans="1:34" s="1" customFormat="1" ht="12.75" x14ac:dyDescent="0.2">
      <c r="A36" s="5">
        <v>25</v>
      </c>
      <c r="B36" s="5">
        <v>263</v>
      </c>
      <c r="C36" s="5">
        <v>1</v>
      </c>
      <c r="D36" s="7">
        <f>1033.8684-0.1159</f>
        <v>1033.7525000000001</v>
      </c>
      <c r="E36" s="5" t="s">
        <v>57</v>
      </c>
      <c r="F36" s="5" t="s">
        <v>247</v>
      </c>
      <c r="G36" s="5" t="s">
        <v>248</v>
      </c>
      <c r="H36" s="6">
        <f>ROUND((N36*5950)+(P36*2650)+(R36*420)+(S36*840),-3)</f>
        <v>7708000</v>
      </c>
      <c r="I36" s="5" t="s">
        <v>249</v>
      </c>
      <c r="J36" s="5" t="s">
        <v>250</v>
      </c>
      <c r="K36" s="5" t="s">
        <v>251</v>
      </c>
      <c r="L36" s="6">
        <v>355000</v>
      </c>
      <c r="M36" s="5">
        <v>13</v>
      </c>
      <c r="N36" s="7">
        <f t="shared" si="0"/>
        <v>1033.7525000000001</v>
      </c>
      <c r="O36" s="8">
        <v>0</v>
      </c>
      <c r="P36" s="9">
        <v>438</v>
      </c>
      <c r="Q36" s="9" t="s">
        <v>33</v>
      </c>
      <c r="R36" s="9">
        <f>120+75</f>
        <v>195</v>
      </c>
      <c r="S36" s="9">
        <v>375</v>
      </c>
      <c r="T36" s="9" t="s">
        <v>33</v>
      </c>
      <c r="U36" s="9"/>
      <c r="V36" s="9"/>
      <c r="W36" s="9"/>
      <c r="X36" s="9"/>
      <c r="Y36" s="9"/>
      <c r="Z36" s="31">
        <f t="shared" si="4"/>
        <v>7708000</v>
      </c>
      <c r="AA36" s="60" t="s">
        <v>252</v>
      </c>
      <c r="AB36" s="54"/>
      <c r="AC36" s="54"/>
      <c r="AD36" s="54"/>
      <c r="AE36" s="54"/>
      <c r="AF36" s="54"/>
      <c r="AG36" s="54"/>
      <c r="AH36" s="54"/>
    </row>
    <row r="37" spans="1:34" s="1" customFormat="1" ht="12.75" x14ac:dyDescent="0.2">
      <c r="A37" s="5">
        <v>20</v>
      </c>
      <c r="B37" s="5">
        <v>263</v>
      </c>
      <c r="C37" s="5">
        <v>6</v>
      </c>
      <c r="D37" s="7">
        <v>0.1159</v>
      </c>
      <c r="E37" s="5" t="s">
        <v>79</v>
      </c>
      <c r="F37" s="5" t="s">
        <v>253</v>
      </c>
      <c r="G37" s="5" t="s">
        <v>232</v>
      </c>
      <c r="H37" s="6">
        <f>ROUND((N37*600)+400,-2)</f>
        <v>500</v>
      </c>
      <c r="I37" s="25" t="s">
        <v>151</v>
      </c>
      <c r="J37" s="5" t="s">
        <v>250</v>
      </c>
      <c r="K37" s="5" t="s">
        <v>251</v>
      </c>
      <c r="L37" s="6">
        <v>355000</v>
      </c>
      <c r="M37" s="5">
        <v>13</v>
      </c>
      <c r="N37" s="7">
        <f t="shared" si="0"/>
        <v>0.1159</v>
      </c>
      <c r="O37" s="8">
        <v>0</v>
      </c>
      <c r="P37" s="9"/>
      <c r="Q37" s="9"/>
      <c r="R37" s="9"/>
      <c r="S37" s="9"/>
      <c r="T37" s="9"/>
      <c r="U37" s="9"/>
      <c r="V37" s="9"/>
      <c r="W37" s="9"/>
      <c r="X37" s="9"/>
      <c r="Y37" s="9"/>
      <c r="Z37" s="31">
        <f t="shared" si="4"/>
        <v>500</v>
      </c>
      <c r="AA37" s="60" t="s">
        <v>254</v>
      </c>
      <c r="AB37" s="54"/>
      <c r="AC37" s="54"/>
      <c r="AD37" s="54"/>
      <c r="AE37" s="54"/>
      <c r="AF37" s="54"/>
      <c r="AG37" s="54"/>
      <c r="AH37" s="54"/>
    </row>
    <row r="38" spans="1:34" s="1" customFormat="1" ht="12.75" x14ac:dyDescent="0.2">
      <c r="A38" s="5">
        <v>20</v>
      </c>
      <c r="B38" s="5">
        <v>266</v>
      </c>
      <c r="C38" s="5">
        <v>7</v>
      </c>
      <c r="D38" s="7">
        <f>156.8325-5.1478</f>
        <v>151.68470000000002</v>
      </c>
      <c r="E38" s="5" t="s">
        <v>57</v>
      </c>
      <c r="F38" s="5" t="s">
        <v>255</v>
      </c>
      <c r="G38" s="5" t="s">
        <v>248</v>
      </c>
      <c r="H38" s="6">
        <f>ROUND((O38*250000)+(N38*5950)+(P38*2650)+(Q38*840)+(R38*420)+(S38*840)+(T38*2750)+(U38*1300)+(V38*500)+(W38*670)+(Y38*2650),-3)</f>
        <v>903000</v>
      </c>
      <c r="I38" s="5" t="s">
        <v>249</v>
      </c>
      <c r="J38" s="5" t="s">
        <v>250</v>
      </c>
      <c r="K38" s="5" t="s">
        <v>251</v>
      </c>
      <c r="L38" s="6">
        <v>355000</v>
      </c>
      <c r="M38" s="5">
        <v>13</v>
      </c>
      <c r="N38" s="7">
        <f t="shared" si="0"/>
        <v>151.68470000000002</v>
      </c>
      <c r="O38" s="8">
        <v>0</v>
      </c>
      <c r="P38" s="9"/>
      <c r="Q38" s="9"/>
      <c r="R38" s="9"/>
      <c r="S38" s="9"/>
      <c r="T38" s="9"/>
      <c r="U38" s="9"/>
      <c r="V38" s="9"/>
      <c r="W38" s="9"/>
      <c r="X38" s="9"/>
      <c r="Y38" s="9"/>
      <c r="Z38" s="31">
        <f t="shared" si="4"/>
        <v>903000</v>
      </c>
      <c r="AA38" s="60" t="s">
        <v>256</v>
      </c>
      <c r="AB38" s="54"/>
      <c r="AC38" s="54"/>
      <c r="AD38" s="54"/>
      <c r="AE38" s="54"/>
      <c r="AF38" s="54"/>
      <c r="AG38" s="54"/>
      <c r="AH38" s="54"/>
    </row>
    <row r="39" spans="1:34" s="1" customFormat="1" ht="12.75" x14ac:dyDescent="0.2">
      <c r="A39" s="5">
        <v>20</v>
      </c>
      <c r="B39" s="5">
        <v>266</v>
      </c>
      <c r="C39" s="5">
        <v>15</v>
      </c>
      <c r="D39" s="7">
        <v>5.1478000000000002</v>
      </c>
      <c r="E39" s="5" t="s">
        <v>79</v>
      </c>
      <c r="F39" s="5" t="s">
        <v>260</v>
      </c>
      <c r="G39" s="5" t="s">
        <v>232</v>
      </c>
      <c r="H39" s="6">
        <f>ROUND((D39*600),-3)</f>
        <v>3000</v>
      </c>
      <c r="I39" s="5" t="s">
        <v>259</v>
      </c>
      <c r="J39" s="5"/>
      <c r="K39" s="5"/>
      <c r="L39" s="6"/>
      <c r="M39" s="5"/>
      <c r="N39" s="7">
        <f t="shared" si="0"/>
        <v>5.1478000000000002</v>
      </c>
      <c r="O39" s="8">
        <v>0</v>
      </c>
      <c r="P39" s="9"/>
      <c r="Q39" s="9"/>
      <c r="R39" s="9"/>
      <c r="S39" s="9"/>
      <c r="T39" s="9"/>
      <c r="U39" s="9"/>
      <c r="V39" s="9"/>
      <c r="W39" s="9"/>
      <c r="X39" s="9"/>
      <c r="Y39" s="9"/>
      <c r="Z39" s="31">
        <f t="shared" si="4"/>
        <v>3000</v>
      </c>
      <c r="AA39" s="60" t="s">
        <v>261</v>
      </c>
      <c r="AB39" s="54"/>
      <c r="AC39" s="54"/>
      <c r="AD39" s="54"/>
      <c r="AE39" s="54"/>
      <c r="AF39" s="54"/>
      <c r="AG39" s="54"/>
      <c r="AH39" s="54"/>
    </row>
    <row r="40" spans="1:34" s="1" customFormat="1" ht="12.75" x14ac:dyDescent="0.2">
      <c r="A40" s="5">
        <v>20</v>
      </c>
      <c r="B40" s="5">
        <v>292</v>
      </c>
      <c r="C40" s="5">
        <v>0</v>
      </c>
      <c r="D40" s="7">
        <v>1109.3516999999999</v>
      </c>
      <c r="E40" s="5" t="s">
        <v>91</v>
      </c>
      <c r="F40" s="5" t="s">
        <v>262</v>
      </c>
      <c r="G40" s="5" t="s">
        <v>263</v>
      </c>
      <c r="H40" s="6">
        <f>ROUND((O40*250000)+(N40*5320)+(P40*3750)+(Q40*840)+(R40*420)+(S40*840)+(T40*2750)+(U40*1300)+(V40*500)+(W40*670)+(Y40*2500),-3)</f>
        <v>10550000</v>
      </c>
      <c r="I40" s="5" t="s">
        <v>264</v>
      </c>
      <c r="J40" s="5" t="s">
        <v>265</v>
      </c>
      <c r="K40" s="29">
        <v>36803</v>
      </c>
      <c r="L40" s="6">
        <v>632700</v>
      </c>
      <c r="M40" s="5"/>
      <c r="N40" s="7">
        <f t="shared" si="0"/>
        <v>1109.3516999999999</v>
      </c>
      <c r="O40" s="8">
        <v>0</v>
      </c>
      <c r="P40" s="9">
        <f>239+217.7</f>
        <v>456.7</v>
      </c>
      <c r="Q40" s="9">
        <v>85</v>
      </c>
      <c r="R40" s="9"/>
      <c r="S40" s="9">
        <v>542</v>
      </c>
      <c r="T40" s="9">
        <v>876</v>
      </c>
      <c r="U40" s="9"/>
      <c r="V40" s="9"/>
      <c r="W40" s="9"/>
      <c r="X40" s="9"/>
      <c r="Y40" s="9"/>
      <c r="Z40" s="31">
        <f t="shared" si="4"/>
        <v>10550000</v>
      </c>
      <c r="AA40" s="60" t="s">
        <v>266</v>
      </c>
      <c r="AB40" s="54"/>
      <c r="AC40" s="54"/>
      <c r="AD40" s="54"/>
      <c r="AE40" s="54"/>
      <c r="AF40" s="54"/>
      <c r="AG40" s="54"/>
      <c r="AH40" s="54"/>
    </row>
    <row r="41" spans="1:34" s="1" customFormat="1" ht="12.75" x14ac:dyDescent="0.2">
      <c r="A41" s="5">
        <v>20</v>
      </c>
      <c r="B41" s="5">
        <v>310</v>
      </c>
      <c r="C41" s="5">
        <v>1</v>
      </c>
      <c r="D41" s="7">
        <v>1090.1511</v>
      </c>
      <c r="E41" s="5" t="s">
        <v>91</v>
      </c>
      <c r="F41" s="5" t="s">
        <v>267</v>
      </c>
      <c r="G41" s="5" t="s">
        <v>268</v>
      </c>
      <c r="H41" s="6">
        <f>ROUND((O41*250000)+(N41*8000)+(P41*2650)+(Q41*840)+(R41*420)+(S41*840)+(T41*2750)+(U41*1300)+(V41*500)+(W41*670)+(Y41*1400),-3)</f>
        <v>13738000</v>
      </c>
      <c r="I41" s="51" t="s">
        <v>269</v>
      </c>
      <c r="J41" s="51" t="s">
        <v>270</v>
      </c>
      <c r="K41" s="51" t="s">
        <v>271</v>
      </c>
      <c r="L41" s="52">
        <v>7000000</v>
      </c>
      <c r="M41" s="5">
        <v>14</v>
      </c>
      <c r="N41" s="7">
        <f t="shared" si="0"/>
        <v>1090.1511</v>
      </c>
      <c r="O41" s="8">
        <v>0</v>
      </c>
      <c r="P41" s="9">
        <f>501+730</f>
        <v>1231</v>
      </c>
      <c r="Q41" s="9">
        <f>305+48</f>
        <v>353</v>
      </c>
      <c r="R41" s="9">
        <v>174</v>
      </c>
      <c r="S41" s="9">
        <f>172+51</f>
        <v>223</v>
      </c>
      <c r="T41" s="9">
        <f>152+240</f>
        <v>392</v>
      </c>
      <c r="U41" s="9">
        <v>52</v>
      </c>
      <c r="V41" s="9">
        <v>105</v>
      </c>
      <c r="W41" s="9"/>
      <c r="X41" s="9"/>
      <c r="Y41" s="9"/>
      <c r="Z41" s="31">
        <f t="shared" si="4"/>
        <v>13738000</v>
      </c>
      <c r="AA41" s="60" t="s">
        <v>272</v>
      </c>
      <c r="AB41" s="54"/>
      <c r="AC41" s="54"/>
      <c r="AD41" s="54"/>
      <c r="AE41" s="54"/>
      <c r="AF41" s="54"/>
      <c r="AG41" s="54"/>
      <c r="AH41" s="54"/>
    </row>
    <row r="42" spans="1:34" s="1" customFormat="1" ht="12.75" x14ac:dyDescent="0.2">
      <c r="A42" s="5">
        <v>20</v>
      </c>
      <c r="B42" s="5">
        <v>313</v>
      </c>
      <c r="C42" s="5">
        <v>2</v>
      </c>
      <c r="D42" s="7">
        <v>81.377099999999999</v>
      </c>
      <c r="E42" s="5" t="s">
        <v>57</v>
      </c>
      <c r="F42" s="5" t="s">
        <v>273</v>
      </c>
      <c r="G42" s="5" t="s">
        <v>274</v>
      </c>
      <c r="H42" s="6">
        <f>ROUND((O42*250000)+(N42*7400)+(P42*2650)+(Q42*840)+(R42*420)+(S42*840)+(T42*2750)+(U42*1300)+(V42*500)+(W42*670)+(Y42*2650),-3)</f>
        <v>602000</v>
      </c>
      <c r="I42" s="5" t="s">
        <v>275</v>
      </c>
      <c r="J42" s="5" t="s">
        <v>276</v>
      </c>
      <c r="K42" s="5"/>
      <c r="L42" s="6">
        <v>82440</v>
      </c>
      <c r="M42" s="5">
        <v>9</v>
      </c>
      <c r="N42" s="7">
        <f>D42-O42</f>
        <v>81.377099999999999</v>
      </c>
      <c r="O42" s="8">
        <v>0</v>
      </c>
      <c r="P42" s="9"/>
      <c r="Q42" s="9"/>
      <c r="R42" s="9"/>
      <c r="S42" s="9"/>
      <c r="T42" s="9"/>
      <c r="U42" s="9"/>
      <c r="V42" s="9"/>
      <c r="W42" s="9"/>
      <c r="X42" s="9"/>
      <c r="Y42" s="9"/>
      <c r="Z42" s="31">
        <f t="shared" si="4"/>
        <v>602000</v>
      </c>
      <c r="AA42" s="60" t="s">
        <v>277</v>
      </c>
      <c r="AB42" s="54"/>
      <c r="AC42" s="54"/>
      <c r="AD42" s="54"/>
      <c r="AE42" s="54"/>
      <c r="AF42" s="54"/>
      <c r="AG42" s="54"/>
      <c r="AH42" s="54"/>
    </row>
    <row r="43" spans="1:34" s="1" customFormat="1" ht="12.75" x14ac:dyDescent="0.2">
      <c r="A43" s="5">
        <v>25</v>
      </c>
      <c r="B43" s="5">
        <v>328</v>
      </c>
      <c r="C43" s="5">
        <v>2</v>
      </c>
      <c r="D43" s="7">
        <v>628.69449999999995</v>
      </c>
      <c r="E43" s="5" t="s">
        <v>57</v>
      </c>
      <c r="F43" s="5" t="s">
        <v>278</v>
      </c>
      <c r="G43" s="5" t="s">
        <v>279</v>
      </c>
      <c r="H43" s="6">
        <f>ROUND((O43*250000)+(N43*4950)+(P43*2650)+(Q43*840)+(R43*420)+(S43*840)+(T43*2750)+(U43*1300)+(V43*500)+(W43*670)+(Y43*2650),-3)</f>
        <v>3112000</v>
      </c>
      <c r="I43" s="5" t="s">
        <v>280</v>
      </c>
      <c r="J43" s="5" t="s">
        <v>281</v>
      </c>
      <c r="K43" s="5"/>
      <c r="L43" s="6"/>
      <c r="M43" s="5">
        <v>16</v>
      </c>
      <c r="N43" s="7">
        <f t="shared" ref="N43:N62" si="5">D43-O43</f>
        <v>628.69449999999995</v>
      </c>
      <c r="O43" s="8">
        <v>0</v>
      </c>
      <c r="P43" s="9"/>
      <c r="Q43" s="9"/>
      <c r="R43" s="9"/>
      <c r="S43" s="9"/>
      <c r="T43" s="9"/>
      <c r="U43" s="9"/>
      <c r="V43" s="9"/>
      <c r="W43" s="9"/>
      <c r="X43" s="9"/>
      <c r="Y43" s="9"/>
      <c r="Z43" s="31">
        <f t="shared" si="4"/>
        <v>3112000</v>
      </c>
      <c r="AA43" s="60" t="s">
        <v>177</v>
      </c>
      <c r="AB43" s="54"/>
      <c r="AC43" s="54"/>
      <c r="AD43" s="54"/>
      <c r="AE43" s="54"/>
      <c r="AF43" s="54"/>
      <c r="AG43" s="54"/>
      <c r="AH43" s="54"/>
    </row>
    <row r="44" spans="1:34" s="1" customFormat="1" ht="12.75" x14ac:dyDescent="0.2">
      <c r="A44" s="5">
        <v>20</v>
      </c>
      <c r="B44" s="5">
        <v>369</v>
      </c>
      <c r="C44" s="5">
        <v>0</v>
      </c>
      <c r="D44" s="7">
        <v>931.11580000000004</v>
      </c>
      <c r="E44" s="5" t="s">
        <v>57</v>
      </c>
      <c r="F44" s="5" t="s">
        <v>282</v>
      </c>
      <c r="G44" s="5" t="s">
        <v>257</v>
      </c>
      <c r="H44" s="6">
        <f>ROUND((O44*250000)+(N44*5300)+(P44*2650)+(Q44*840)+(R44*420)+(S44*840)+(T44*2750)+(U44*1300)+(V44*500)+(W44*670)+(Y44*2500),-3)</f>
        <v>12276000</v>
      </c>
      <c r="I44" s="5" t="s">
        <v>283</v>
      </c>
      <c r="J44" s="5" t="s">
        <v>284</v>
      </c>
      <c r="K44" s="5">
        <v>20180122</v>
      </c>
      <c r="L44" s="6">
        <v>5800000</v>
      </c>
      <c r="M44" s="5">
        <v>13</v>
      </c>
      <c r="N44" s="7">
        <f t="shared" si="5"/>
        <v>901.11580000000004</v>
      </c>
      <c r="O44" s="8">
        <v>30</v>
      </c>
      <c r="P44" s="9"/>
      <c r="Q44" s="9"/>
      <c r="R44" s="9"/>
      <c r="S44" s="9"/>
      <c r="T44" s="9"/>
      <c r="U44" s="9"/>
      <c r="V44" s="9"/>
      <c r="W44" s="9"/>
      <c r="X44" s="9"/>
      <c r="Y44" s="9"/>
      <c r="Z44" s="31">
        <f t="shared" ref="Z44" si="6">+H44</f>
        <v>12276000</v>
      </c>
      <c r="AA44" s="60" t="s">
        <v>177</v>
      </c>
      <c r="AB44" s="54"/>
      <c r="AC44" s="54"/>
      <c r="AD44" s="54"/>
      <c r="AE44" s="54"/>
      <c r="AF44" s="54"/>
      <c r="AG44" s="54"/>
      <c r="AH44" s="54"/>
    </row>
    <row r="45" spans="1:34" s="1" customFormat="1" ht="12.75" x14ac:dyDescent="0.2">
      <c r="A45" s="5">
        <v>20</v>
      </c>
      <c r="B45" s="5">
        <v>378</v>
      </c>
      <c r="C45" s="5">
        <v>0</v>
      </c>
      <c r="D45" s="7">
        <v>2368.4627</v>
      </c>
      <c r="E45" s="5" t="s">
        <v>57</v>
      </c>
      <c r="F45" s="5" t="s">
        <v>285</v>
      </c>
      <c r="G45" s="5" t="s">
        <v>162</v>
      </c>
      <c r="H45" s="6">
        <f>ROUND((O45*200000)+(N45*4950)+(P45*2650)+(Q45*840)+(R45*420)+(S45*840)+(T45*2750)+(U45*1300)+(V45*500)+(W45*670)+(Y45*2500),-3)</f>
        <v>45604000</v>
      </c>
      <c r="I45" s="5" t="s">
        <v>163</v>
      </c>
      <c r="J45" s="5" t="s">
        <v>164</v>
      </c>
      <c r="K45" s="5" t="s">
        <v>165</v>
      </c>
      <c r="L45" s="6" t="s">
        <v>166</v>
      </c>
      <c r="M45" s="5">
        <v>8</v>
      </c>
      <c r="N45" s="7">
        <f t="shared" si="5"/>
        <v>2203.4627</v>
      </c>
      <c r="O45" s="8">
        <v>165</v>
      </c>
      <c r="P45" s="9">
        <v>395</v>
      </c>
      <c r="Q45" s="9">
        <v>12</v>
      </c>
      <c r="R45" s="9">
        <v>405</v>
      </c>
      <c r="S45" s="9">
        <v>560</v>
      </c>
      <c r="T45" s="9"/>
      <c r="U45" s="9"/>
      <c r="V45" s="9"/>
      <c r="W45" s="9"/>
      <c r="X45" s="9"/>
      <c r="Y45" s="9"/>
      <c r="Z45" s="31">
        <f t="shared" ref="Z45" si="7">+H45</f>
        <v>45604000</v>
      </c>
      <c r="AA45" s="60" t="s">
        <v>286</v>
      </c>
      <c r="AB45" s="54"/>
      <c r="AC45" s="54"/>
      <c r="AD45" s="54"/>
      <c r="AE45" s="54"/>
      <c r="AF45" s="54"/>
      <c r="AG45" s="54"/>
      <c r="AH45" s="54"/>
    </row>
    <row r="46" spans="1:34" s="1" customFormat="1" ht="12.75" x14ac:dyDescent="0.2">
      <c r="A46" s="5">
        <v>20</v>
      </c>
      <c r="B46" s="5">
        <v>381</v>
      </c>
      <c r="C46" s="5">
        <v>0</v>
      </c>
      <c r="D46" s="7">
        <v>5445.3589000000002</v>
      </c>
      <c r="E46" s="5" t="s">
        <v>57</v>
      </c>
      <c r="F46" s="5" t="s">
        <v>287</v>
      </c>
      <c r="G46" s="5" t="s">
        <v>222</v>
      </c>
      <c r="H46" s="6">
        <f>ROUND((O46*250000)+(N46*2200)+(P46*2650)+(Q46*840)+(R46*420)+(S46*840)+(T46*2750)+(U46*1300)+(V46*500)+(W46*670)+(Y46*2650),-3)</f>
        <v>43203000</v>
      </c>
      <c r="I46" s="5" t="s">
        <v>223</v>
      </c>
      <c r="J46" s="5" t="s">
        <v>224</v>
      </c>
      <c r="K46" s="5" t="s">
        <v>225</v>
      </c>
      <c r="L46" s="6">
        <v>17871700</v>
      </c>
      <c r="M46" s="5">
        <v>12</v>
      </c>
      <c r="N46" s="7">
        <f t="shared" si="5"/>
        <v>5319.3589000000002</v>
      </c>
      <c r="O46" s="8">
        <v>126</v>
      </c>
      <c r="P46" s="9"/>
      <c r="Q46" s="9"/>
      <c r="R46" s="9"/>
      <c r="S46" s="9"/>
      <c r="T46" s="9"/>
      <c r="U46" s="9"/>
      <c r="V46" s="9"/>
      <c r="W46" s="9"/>
      <c r="X46" s="9"/>
      <c r="Y46" s="9"/>
      <c r="Z46" s="31">
        <f t="shared" ref="Z46:Z47" si="8">+H46</f>
        <v>43203000</v>
      </c>
      <c r="AA46" s="60" t="s">
        <v>107</v>
      </c>
      <c r="AB46" s="54"/>
      <c r="AC46" s="54"/>
      <c r="AD46" s="54"/>
      <c r="AE46" s="54"/>
      <c r="AF46" s="54"/>
      <c r="AG46" s="54"/>
      <c r="AH46" s="54"/>
    </row>
    <row r="47" spans="1:34" s="1" customFormat="1" ht="12.75" x14ac:dyDescent="0.2">
      <c r="A47" s="5">
        <v>20</v>
      </c>
      <c r="B47" s="5">
        <v>381</v>
      </c>
      <c r="C47" s="5">
        <v>1</v>
      </c>
      <c r="D47" s="7">
        <v>95.222899999999996</v>
      </c>
      <c r="E47" s="5" t="s">
        <v>57</v>
      </c>
      <c r="F47" s="5" t="s">
        <v>288</v>
      </c>
      <c r="G47" s="5" t="s">
        <v>222</v>
      </c>
      <c r="H47" s="6">
        <f>ROUND((O47*200000)+(N47*2200)+(P47*2650)+(Q47*840)+(R47*420)+(S47*840)+(T47*2750)+(U47*1300)+(V47*500)+(W47*670)+(Y47*2650),-3)</f>
        <v>11390000</v>
      </c>
      <c r="I47" s="5" t="s">
        <v>223</v>
      </c>
      <c r="J47" s="5" t="s">
        <v>289</v>
      </c>
      <c r="K47" s="5" t="s">
        <v>290</v>
      </c>
      <c r="L47" s="6">
        <v>1374000</v>
      </c>
      <c r="M47" s="5">
        <v>12</v>
      </c>
      <c r="N47" s="7">
        <f t="shared" si="5"/>
        <v>63.222899999999996</v>
      </c>
      <c r="O47" s="8">
        <v>32</v>
      </c>
      <c r="P47" s="9">
        <v>1082</v>
      </c>
      <c r="Q47" s="9">
        <v>184</v>
      </c>
      <c r="R47" s="9">
        <v>228</v>
      </c>
      <c r="S47" s="9">
        <v>2063</v>
      </c>
      <c r="T47" s="9"/>
      <c r="U47" s="9"/>
      <c r="V47" s="9"/>
      <c r="W47" s="9"/>
      <c r="X47" s="9"/>
      <c r="Y47" s="9"/>
      <c r="Z47" s="31">
        <f t="shared" si="8"/>
        <v>11390000</v>
      </c>
      <c r="AA47" s="60" t="s">
        <v>226</v>
      </c>
      <c r="AB47" s="54"/>
      <c r="AC47" s="54"/>
      <c r="AD47" s="54"/>
      <c r="AE47" s="54"/>
      <c r="AF47" s="54"/>
      <c r="AG47" s="54"/>
      <c r="AH47" s="54"/>
    </row>
    <row r="48" spans="1:34" s="1" customFormat="1" ht="12.75" x14ac:dyDescent="0.2">
      <c r="A48" s="5">
        <v>20</v>
      </c>
      <c r="B48" s="5">
        <v>381</v>
      </c>
      <c r="C48" s="5">
        <v>2</v>
      </c>
      <c r="D48" s="7">
        <v>769.81550000000004</v>
      </c>
      <c r="E48" s="5" t="s">
        <v>57</v>
      </c>
      <c r="F48" s="5" t="s">
        <v>291</v>
      </c>
      <c r="G48" s="5" t="s">
        <v>222</v>
      </c>
      <c r="H48" s="6">
        <f>ROUND(((63.6*200000)+(86.4*60000))+(N48*2200)+(P48*2650)+(Q48*840)+(R48*420)+(S48*840)+(T48*2750)+(U48*1300)+(V48*500)+(W48*670)+(Y48*2650),-3)</f>
        <v>19458000</v>
      </c>
      <c r="I48" s="5" t="s">
        <v>223</v>
      </c>
      <c r="J48" s="5" t="s">
        <v>289</v>
      </c>
      <c r="K48" s="5" t="s">
        <v>290</v>
      </c>
      <c r="L48" s="6">
        <v>1374000</v>
      </c>
      <c r="M48" s="5">
        <v>12</v>
      </c>
      <c r="N48" s="7">
        <f t="shared" si="5"/>
        <v>706.21550000000002</v>
      </c>
      <c r="O48" s="8">
        <v>63.6</v>
      </c>
      <c r="P48" s="9"/>
      <c r="Q48" s="9"/>
      <c r="R48" s="9"/>
      <c r="S48" s="9"/>
      <c r="T48" s="9"/>
      <c r="U48" s="9"/>
      <c r="V48" s="9"/>
      <c r="W48" s="9"/>
      <c r="X48" s="9"/>
      <c r="Y48" s="9"/>
      <c r="Z48" s="31">
        <f>+H48</f>
        <v>19458000</v>
      </c>
      <c r="AA48" s="60" t="s">
        <v>226</v>
      </c>
      <c r="AB48" s="54"/>
      <c r="AC48" s="54"/>
      <c r="AD48" s="54"/>
      <c r="AE48" s="54"/>
      <c r="AF48" s="54"/>
      <c r="AG48" s="54"/>
      <c r="AH48" s="54"/>
    </row>
    <row r="49" spans="1:34" s="1" customFormat="1" ht="12.75" x14ac:dyDescent="0.2">
      <c r="A49" s="5">
        <v>20</v>
      </c>
      <c r="B49" s="5">
        <v>381</v>
      </c>
      <c r="C49" s="5">
        <v>3</v>
      </c>
      <c r="D49" s="7">
        <v>193.03620000000001</v>
      </c>
      <c r="E49" s="5" t="s">
        <v>57</v>
      </c>
      <c r="F49" s="5" t="s">
        <v>292</v>
      </c>
      <c r="G49" s="5" t="s">
        <v>222</v>
      </c>
      <c r="H49" s="6">
        <f t="shared" ref="H49:H54" si="9">ROUND((O49*250000)+(N49*2200)+(P49*2650)+(Q49*840)+(R49*420)+(S49*840)+(T49*2750)+(U49*1300)+(V49*500)+(W49*670)+(Y49*2650),-3)</f>
        <v>6620000</v>
      </c>
      <c r="I49" s="5" t="s">
        <v>223</v>
      </c>
      <c r="J49" s="5" t="s">
        <v>289</v>
      </c>
      <c r="K49" s="5" t="s">
        <v>290</v>
      </c>
      <c r="L49" s="6">
        <v>1374000</v>
      </c>
      <c r="M49" s="5">
        <v>12</v>
      </c>
      <c r="N49" s="7">
        <f t="shared" si="5"/>
        <v>168.03620000000001</v>
      </c>
      <c r="O49" s="8">
        <v>25</v>
      </c>
      <c r="P49" s="9"/>
      <c r="Q49" s="9"/>
      <c r="R49" s="9"/>
      <c r="S49" s="9"/>
      <c r="T49" s="9"/>
      <c r="U49" s="9"/>
      <c r="V49" s="9"/>
      <c r="W49" s="9"/>
      <c r="X49" s="9"/>
      <c r="Y49" s="9"/>
      <c r="Z49" s="31">
        <f>+H49</f>
        <v>6620000</v>
      </c>
      <c r="AA49" s="60" t="s">
        <v>107</v>
      </c>
      <c r="AB49" s="54"/>
      <c r="AC49" s="54"/>
      <c r="AD49" s="54"/>
      <c r="AE49" s="54"/>
      <c r="AF49" s="54"/>
      <c r="AG49" s="54"/>
      <c r="AH49" s="54"/>
    </row>
    <row r="50" spans="1:34" s="1" customFormat="1" ht="12.75" x14ac:dyDescent="0.2">
      <c r="A50" s="5">
        <v>20</v>
      </c>
      <c r="B50" s="5">
        <v>381</v>
      </c>
      <c r="C50" s="5">
        <v>6</v>
      </c>
      <c r="D50" s="7">
        <v>70.670500000000004</v>
      </c>
      <c r="E50" s="5" t="s">
        <v>57</v>
      </c>
      <c r="F50" s="5" t="s">
        <v>293</v>
      </c>
      <c r="G50" s="5" t="s">
        <v>222</v>
      </c>
      <c r="H50" s="6">
        <f t="shared" si="9"/>
        <v>155000</v>
      </c>
      <c r="I50" s="5" t="s">
        <v>223</v>
      </c>
      <c r="J50" s="5" t="s">
        <v>289</v>
      </c>
      <c r="K50" s="5" t="s">
        <v>290</v>
      </c>
      <c r="L50" s="6">
        <v>1374000</v>
      </c>
      <c r="M50" s="5">
        <v>12</v>
      </c>
      <c r="N50" s="7">
        <f t="shared" si="5"/>
        <v>70.670500000000004</v>
      </c>
      <c r="O50" s="8">
        <v>0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31">
        <f t="shared" ref="Z50:Z53" si="10">+H50</f>
        <v>155000</v>
      </c>
      <c r="AA50" s="60" t="s">
        <v>107</v>
      </c>
      <c r="AB50" s="54"/>
      <c r="AC50" s="54"/>
      <c r="AD50" s="54"/>
      <c r="AE50" s="54"/>
      <c r="AF50" s="54"/>
      <c r="AG50" s="54"/>
      <c r="AH50" s="54"/>
    </row>
    <row r="51" spans="1:34" s="1" customFormat="1" ht="12.75" x14ac:dyDescent="0.2">
      <c r="A51" s="5">
        <v>20</v>
      </c>
      <c r="B51" s="5">
        <v>381</v>
      </c>
      <c r="C51" s="5">
        <v>7</v>
      </c>
      <c r="D51" s="7">
        <v>272.01900000000001</v>
      </c>
      <c r="E51" s="5" t="s">
        <v>57</v>
      </c>
      <c r="F51" s="5" t="s">
        <v>294</v>
      </c>
      <c r="G51" s="5" t="s">
        <v>222</v>
      </c>
      <c r="H51" s="6">
        <f t="shared" si="9"/>
        <v>598000</v>
      </c>
      <c r="I51" s="5" t="s">
        <v>223</v>
      </c>
      <c r="J51" s="5" t="s">
        <v>289</v>
      </c>
      <c r="K51" s="5" t="s">
        <v>290</v>
      </c>
      <c r="L51" s="6">
        <v>1374000</v>
      </c>
      <c r="M51" s="5">
        <v>12</v>
      </c>
      <c r="N51" s="7">
        <f t="shared" si="5"/>
        <v>272.01900000000001</v>
      </c>
      <c r="O51" s="8">
        <v>0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31">
        <f t="shared" si="10"/>
        <v>598000</v>
      </c>
      <c r="AA51" s="60" t="s">
        <v>107</v>
      </c>
      <c r="AB51" s="54"/>
      <c r="AC51" s="54"/>
      <c r="AD51" s="54"/>
      <c r="AE51" s="54"/>
      <c r="AF51" s="54"/>
      <c r="AG51" s="54"/>
      <c r="AH51" s="54"/>
    </row>
    <row r="52" spans="1:34" s="1" customFormat="1" ht="12.75" x14ac:dyDescent="0.2">
      <c r="A52" s="5">
        <v>25</v>
      </c>
      <c r="B52" s="5">
        <v>381</v>
      </c>
      <c r="C52" s="5">
        <v>8</v>
      </c>
      <c r="D52" s="7">
        <v>42.3</v>
      </c>
      <c r="E52" s="5" t="s">
        <v>57</v>
      </c>
      <c r="F52" s="5" t="s">
        <v>295</v>
      </c>
      <c r="G52" s="5" t="s">
        <v>222</v>
      </c>
      <c r="H52" s="6">
        <f t="shared" si="9"/>
        <v>93000</v>
      </c>
      <c r="I52" s="5" t="s">
        <v>223</v>
      </c>
      <c r="J52" s="5" t="s">
        <v>289</v>
      </c>
      <c r="K52" s="5" t="s">
        <v>290</v>
      </c>
      <c r="L52" s="6">
        <v>1374000</v>
      </c>
      <c r="M52" s="5">
        <v>12</v>
      </c>
      <c r="N52" s="7">
        <f t="shared" si="5"/>
        <v>42.3</v>
      </c>
      <c r="O52" s="8">
        <v>0</v>
      </c>
      <c r="P52" s="9"/>
      <c r="Q52" s="9"/>
      <c r="R52" s="9"/>
      <c r="S52" s="9"/>
      <c r="T52" s="9"/>
      <c r="U52" s="9"/>
      <c r="V52" s="9"/>
      <c r="W52" s="9"/>
      <c r="X52" s="9"/>
      <c r="Y52" s="9"/>
      <c r="Z52" s="31">
        <f t="shared" si="10"/>
        <v>93000</v>
      </c>
      <c r="AA52" s="60" t="s">
        <v>107</v>
      </c>
      <c r="AB52" s="54"/>
      <c r="AC52" s="54"/>
      <c r="AD52" s="54"/>
      <c r="AE52" s="54"/>
      <c r="AF52" s="54"/>
      <c r="AG52" s="54"/>
      <c r="AH52" s="54"/>
    </row>
    <row r="53" spans="1:34" s="1" customFormat="1" ht="12.75" customHeight="1" x14ac:dyDescent="0.2">
      <c r="A53" s="5">
        <v>20</v>
      </c>
      <c r="B53" s="5">
        <v>381</v>
      </c>
      <c r="C53" s="5">
        <v>9</v>
      </c>
      <c r="D53" s="7">
        <v>93.5</v>
      </c>
      <c r="E53" s="5" t="s">
        <v>57</v>
      </c>
      <c r="F53" s="5" t="s">
        <v>296</v>
      </c>
      <c r="G53" s="5" t="s">
        <v>222</v>
      </c>
      <c r="H53" s="6">
        <f t="shared" si="9"/>
        <v>206000</v>
      </c>
      <c r="I53" s="5" t="s">
        <v>223</v>
      </c>
      <c r="J53" s="5" t="s">
        <v>289</v>
      </c>
      <c r="K53" s="5" t="s">
        <v>290</v>
      </c>
      <c r="L53" s="6">
        <v>1374000</v>
      </c>
      <c r="M53" s="5">
        <v>12</v>
      </c>
      <c r="N53" s="7">
        <f t="shared" si="5"/>
        <v>93.5</v>
      </c>
      <c r="O53" s="8">
        <v>0</v>
      </c>
      <c r="P53" s="9"/>
      <c r="Q53" s="9"/>
      <c r="R53" s="9"/>
      <c r="S53" s="9"/>
      <c r="T53" s="9"/>
      <c r="U53" s="9"/>
      <c r="V53" s="9"/>
      <c r="W53" s="9"/>
      <c r="X53" s="9"/>
      <c r="Y53" s="9"/>
      <c r="Z53" s="31">
        <f t="shared" si="10"/>
        <v>206000</v>
      </c>
      <c r="AA53" s="60" t="s">
        <v>107</v>
      </c>
      <c r="AB53" s="54"/>
      <c r="AC53" s="54"/>
      <c r="AD53" s="54"/>
      <c r="AE53" s="54"/>
      <c r="AF53" s="54"/>
      <c r="AG53" s="54"/>
      <c r="AH53" s="54"/>
    </row>
    <row r="54" spans="1:34" s="1" customFormat="1" ht="12.75" x14ac:dyDescent="0.2">
      <c r="A54" s="5">
        <v>20</v>
      </c>
      <c r="B54" s="5">
        <v>385</v>
      </c>
      <c r="C54" s="5">
        <v>2</v>
      </c>
      <c r="D54" s="7">
        <v>117.80759999999999</v>
      </c>
      <c r="E54" s="5" t="s">
        <v>57</v>
      </c>
      <c r="F54" s="5" t="s">
        <v>297</v>
      </c>
      <c r="G54" s="5" t="s">
        <v>222</v>
      </c>
      <c r="H54" s="6">
        <f t="shared" si="9"/>
        <v>259000</v>
      </c>
      <c r="I54" s="5" t="s">
        <v>223</v>
      </c>
      <c r="J54" s="5"/>
      <c r="K54" s="5"/>
      <c r="L54" s="6"/>
      <c r="M54" s="5">
        <v>12</v>
      </c>
      <c r="N54" s="7">
        <f t="shared" si="5"/>
        <v>117.80759999999999</v>
      </c>
      <c r="O54" s="8">
        <v>0</v>
      </c>
      <c r="P54" s="9"/>
      <c r="Q54" s="9"/>
      <c r="R54" s="9"/>
      <c r="S54" s="9"/>
      <c r="T54" s="9"/>
      <c r="U54" s="9"/>
      <c r="V54" s="9"/>
      <c r="W54" s="9"/>
      <c r="X54" s="9"/>
      <c r="Y54" s="9"/>
      <c r="Z54" s="31">
        <f>+H54</f>
        <v>259000</v>
      </c>
      <c r="AA54" s="60" t="s">
        <v>107</v>
      </c>
      <c r="AB54" s="54"/>
      <c r="AC54" s="54"/>
      <c r="AD54" s="54"/>
      <c r="AE54" s="54"/>
      <c r="AF54" s="54"/>
      <c r="AG54" s="54"/>
      <c r="AH54" s="54"/>
    </row>
    <row r="55" spans="1:34" s="1" customFormat="1" ht="12.75" x14ac:dyDescent="0.2">
      <c r="A55" s="5">
        <v>25</v>
      </c>
      <c r="B55" s="5">
        <v>385</v>
      </c>
      <c r="C55" s="5">
        <v>4</v>
      </c>
      <c r="D55" s="7">
        <v>2416.8049999999998</v>
      </c>
      <c r="E55" s="5" t="s">
        <v>57</v>
      </c>
      <c r="F55" s="5" t="s">
        <v>298</v>
      </c>
      <c r="G55" s="5" t="s">
        <v>222</v>
      </c>
      <c r="H55" s="6">
        <f>ROUND((O55*200000)+(N55*2200)+(P55*2650)+(Q55*840)+(R55*420)+(S55*840)+(T55*2750)+(U55*1300)+(V55*500)+(W55*670)+(Y55*2650),-3)</f>
        <v>7295000</v>
      </c>
      <c r="I55" s="5" t="s">
        <v>223</v>
      </c>
      <c r="J55" s="5"/>
      <c r="K55" s="5"/>
      <c r="L55" s="6"/>
      <c r="M55" s="5">
        <v>12</v>
      </c>
      <c r="N55" s="7">
        <f t="shared" si="5"/>
        <v>2406.8049999999998</v>
      </c>
      <c r="O55" s="8">
        <v>10</v>
      </c>
      <c r="P55" s="9"/>
      <c r="Q55" s="9"/>
      <c r="R55" s="9"/>
      <c r="S55" s="9"/>
      <c r="T55" s="9"/>
      <c r="U55" s="9"/>
      <c r="V55" s="9"/>
      <c r="W55" s="9"/>
      <c r="X55" s="9"/>
      <c r="Y55" s="9"/>
      <c r="Z55" s="31">
        <f>+H55</f>
        <v>7295000</v>
      </c>
      <c r="AA55" s="60" t="s">
        <v>226</v>
      </c>
      <c r="AB55" s="54"/>
      <c r="AC55" s="54"/>
      <c r="AD55" s="54"/>
      <c r="AE55" s="54"/>
      <c r="AF55" s="54"/>
      <c r="AG55" s="54"/>
      <c r="AH55" s="54"/>
    </row>
    <row r="56" spans="1:34" s="1" customFormat="1" ht="12.75" x14ac:dyDescent="0.2">
      <c r="A56" s="5">
        <v>20</v>
      </c>
      <c r="B56" s="5">
        <v>409</v>
      </c>
      <c r="C56" s="5">
        <v>0</v>
      </c>
      <c r="D56" s="7">
        <v>2993.7876999999999</v>
      </c>
      <c r="E56" s="5" t="s">
        <v>57</v>
      </c>
      <c r="F56" s="5" t="s">
        <v>299</v>
      </c>
      <c r="G56" s="5" t="s">
        <v>222</v>
      </c>
      <c r="H56" s="6">
        <f>ROUND((O56*250000)+(N56*2200)+(P56*2650)+(Q56*840)+(R56*420)+(S56*840)+(T56*2750)+(U56*1300)+(V56*500)+(W56*670)+(Y56*2650),-3)</f>
        <v>10024000</v>
      </c>
      <c r="I56" s="5" t="s">
        <v>223</v>
      </c>
      <c r="J56" s="5" t="s">
        <v>224</v>
      </c>
      <c r="K56" s="5" t="s">
        <v>225</v>
      </c>
      <c r="L56" s="6">
        <v>17871700</v>
      </c>
      <c r="M56" s="5">
        <v>12</v>
      </c>
      <c r="N56" s="7">
        <f t="shared" si="5"/>
        <v>2993.7876999999999</v>
      </c>
      <c r="O56" s="8">
        <v>0</v>
      </c>
      <c r="P56" s="9">
        <v>430</v>
      </c>
      <c r="Q56" s="9">
        <v>219</v>
      </c>
      <c r="R56" s="9"/>
      <c r="S56" s="9">
        <v>640</v>
      </c>
      <c r="T56" s="9">
        <v>560</v>
      </c>
      <c r="U56" s="9">
        <v>28</v>
      </c>
      <c r="V56" s="9"/>
      <c r="W56" s="9"/>
      <c r="X56" s="9"/>
      <c r="Y56" s="9"/>
      <c r="Z56" s="31">
        <f>+H56</f>
        <v>10024000</v>
      </c>
      <c r="AA56" s="60" t="s">
        <v>226</v>
      </c>
      <c r="AB56" s="54"/>
      <c r="AC56" s="54"/>
      <c r="AD56" s="54"/>
      <c r="AE56" s="54"/>
      <c r="AF56" s="54"/>
      <c r="AG56" s="54"/>
      <c r="AH56" s="54"/>
    </row>
    <row r="57" spans="1:34" s="1" customFormat="1" ht="12.75" x14ac:dyDescent="0.2">
      <c r="A57" s="5">
        <v>20</v>
      </c>
      <c r="B57" s="5">
        <v>409</v>
      </c>
      <c r="C57" s="5" t="s">
        <v>300</v>
      </c>
      <c r="D57" s="7">
        <v>0</v>
      </c>
      <c r="E57" s="5"/>
      <c r="F57" s="5"/>
      <c r="G57" s="5"/>
      <c r="H57" s="6">
        <f>ROUND((O57*250000)+(N57*250000)+(P57*2650)+(Q57*840)+(R57*420)+(S57*840)+(T57*2750)+(U57*1300)+(V57*500)+(W57*670)+(Y57*2650),-3)</f>
        <v>0</v>
      </c>
      <c r="I57" s="5" t="s">
        <v>223</v>
      </c>
      <c r="J57" s="5"/>
      <c r="K57" s="5"/>
      <c r="L57" s="6"/>
      <c r="M57" s="5">
        <v>12</v>
      </c>
      <c r="N57" s="7">
        <f t="shared" si="5"/>
        <v>0</v>
      </c>
      <c r="O57" s="8">
        <v>0</v>
      </c>
      <c r="P57" s="9"/>
      <c r="Q57" s="9"/>
      <c r="R57" s="9"/>
      <c r="S57" s="9"/>
      <c r="T57" s="9"/>
      <c r="U57" s="9"/>
      <c r="V57" s="9"/>
      <c r="W57" s="9"/>
      <c r="X57" s="9"/>
      <c r="Y57" s="9"/>
      <c r="Z57" s="31">
        <f>+H57</f>
        <v>0</v>
      </c>
      <c r="AA57" s="60" t="s">
        <v>301</v>
      </c>
      <c r="AB57" s="54"/>
      <c r="AC57" s="54"/>
      <c r="AD57" s="54"/>
      <c r="AE57" s="54"/>
      <c r="AF57" s="54"/>
      <c r="AG57" s="54"/>
      <c r="AH57" s="54"/>
    </row>
    <row r="58" spans="1:34" s="1" customFormat="1" ht="12.75" x14ac:dyDescent="0.2">
      <c r="A58" s="5">
        <v>20</v>
      </c>
      <c r="B58" s="5">
        <v>409</v>
      </c>
      <c r="C58" s="5">
        <v>1</v>
      </c>
      <c r="D58" s="7">
        <v>165.73249999999999</v>
      </c>
      <c r="E58" s="5" t="s">
        <v>57</v>
      </c>
      <c r="F58" s="5" t="s">
        <v>302</v>
      </c>
      <c r="G58" s="5" t="s">
        <v>222</v>
      </c>
      <c r="H58" s="6">
        <f>ROUND((O58*250000)+(N58*2200)+(P58*2650)+(Q58*840)+(R58*420)+(S58*840)+(T58*2750)+(U58*1300)+(V58*500)+(W58*670)+(Y58*2650),-3)</f>
        <v>365000</v>
      </c>
      <c r="I58" s="5" t="s">
        <v>223</v>
      </c>
      <c r="J58" s="5" t="s">
        <v>303</v>
      </c>
      <c r="K58" s="5" t="s">
        <v>290</v>
      </c>
      <c r="L58" s="6">
        <v>1676000</v>
      </c>
      <c r="M58" s="5">
        <v>12</v>
      </c>
      <c r="N58" s="7">
        <f t="shared" si="5"/>
        <v>165.73249999999999</v>
      </c>
      <c r="O58" s="8">
        <v>0</v>
      </c>
      <c r="P58" s="9"/>
      <c r="Q58" s="9"/>
      <c r="R58" s="9"/>
      <c r="S58" s="9"/>
      <c r="T58" s="9"/>
      <c r="U58" s="9"/>
      <c r="V58" s="9"/>
      <c r="W58" s="9"/>
      <c r="X58" s="9"/>
      <c r="Y58" s="9"/>
      <c r="Z58" s="31">
        <f t="shared" ref="Z58:Z64" si="11">+H58</f>
        <v>365000</v>
      </c>
      <c r="AA58" s="60" t="s">
        <v>226</v>
      </c>
      <c r="AB58" s="54"/>
      <c r="AC58" s="54"/>
      <c r="AD58" s="54"/>
      <c r="AE58" s="54"/>
      <c r="AF58" s="54"/>
      <c r="AG58" s="54"/>
      <c r="AH58" s="54"/>
    </row>
    <row r="59" spans="1:34" s="1" customFormat="1" ht="12.75" x14ac:dyDescent="0.2">
      <c r="A59" s="5">
        <v>20</v>
      </c>
      <c r="B59" s="5">
        <v>409</v>
      </c>
      <c r="C59" s="5">
        <v>2</v>
      </c>
      <c r="D59" s="7">
        <v>93.862700000000004</v>
      </c>
      <c r="E59" s="5" t="s">
        <v>57</v>
      </c>
      <c r="F59" s="5" t="s">
        <v>304</v>
      </c>
      <c r="G59" s="5" t="s">
        <v>222</v>
      </c>
      <c r="H59" s="6">
        <f>ROUND((O59*250000)+(N59*2200)+(P59*2650)+(Q59*840)+(R59*420)+(S59*840)+(T59*2750)+(U59*1300)+(V59*500)+(W59*670)+(Y59*2650),-3)</f>
        <v>206000</v>
      </c>
      <c r="I59" s="5" t="s">
        <v>223</v>
      </c>
      <c r="J59" s="5" t="s">
        <v>303</v>
      </c>
      <c r="K59" s="5" t="s">
        <v>290</v>
      </c>
      <c r="L59" s="6">
        <v>1676000</v>
      </c>
      <c r="M59" s="5">
        <v>12</v>
      </c>
      <c r="N59" s="7">
        <f t="shared" si="5"/>
        <v>93.862700000000004</v>
      </c>
      <c r="O59" s="8">
        <v>0</v>
      </c>
      <c r="P59" s="9"/>
      <c r="Q59" s="9"/>
      <c r="R59" s="9"/>
      <c r="S59" s="9"/>
      <c r="T59" s="9"/>
      <c r="U59" s="9"/>
      <c r="V59" s="9"/>
      <c r="W59" s="9"/>
      <c r="X59" s="9"/>
      <c r="Y59" s="9"/>
      <c r="Z59" s="31">
        <f t="shared" si="11"/>
        <v>206000</v>
      </c>
      <c r="AA59" s="60" t="s">
        <v>226</v>
      </c>
      <c r="AB59" s="54"/>
      <c r="AC59" s="54"/>
      <c r="AD59" s="54"/>
      <c r="AE59" s="54"/>
      <c r="AF59" s="54"/>
      <c r="AG59" s="54"/>
      <c r="AH59" s="54"/>
    </row>
    <row r="60" spans="1:34" s="1" customFormat="1" ht="12.75" x14ac:dyDescent="0.2">
      <c r="A60" s="5">
        <v>20</v>
      </c>
      <c r="B60" s="5">
        <v>410</v>
      </c>
      <c r="C60" s="5">
        <v>1</v>
      </c>
      <c r="D60" s="7">
        <v>706.52530000000002</v>
      </c>
      <c r="E60" s="5" t="s">
        <v>57</v>
      </c>
      <c r="F60" s="5" t="s">
        <v>305</v>
      </c>
      <c r="G60" s="5" t="s">
        <v>306</v>
      </c>
      <c r="H60" s="6">
        <f>ROUND((O60*250000)+(N60*(4100))+(P60*2650)+(Q60*840)+(R60*420)+(S60*840)+(T60*2750)+(U60*1300)+(V60*500)+(W60*670)+(Y60*2650),-3)</f>
        <v>2897000</v>
      </c>
      <c r="I60" s="5" t="s">
        <v>307</v>
      </c>
      <c r="J60" s="5"/>
      <c r="K60" s="29">
        <v>38427</v>
      </c>
      <c r="L60" s="6"/>
      <c r="M60" s="5">
        <v>12</v>
      </c>
      <c r="N60" s="7">
        <f t="shared" si="5"/>
        <v>706.52530000000002</v>
      </c>
      <c r="O60" s="8">
        <v>0</v>
      </c>
      <c r="P60" s="9"/>
      <c r="Q60" s="9"/>
      <c r="R60" s="9"/>
      <c r="S60" s="9"/>
      <c r="T60" s="9"/>
      <c r="U60" s="9"/>
      <c r="V60" s="9"/>
      <c r="W60" s="9"/>
      <c r="X60" s="9"/>
      <c r="Y60" s="9"/>
      <c r="Z60" s="31">
        <f t="shared" si="11"/>
        <v>2897000</v>
      </c>
      <c r="AA60" s="60" t="s">
        <v>316</v>
      </c>
      <c r="AB60" s="54"/>
      <c r="AC60" s="54"/>
      <c r="AD60" s="54"/>
      <c r="AE60" s="54"/>
      <c r="AF60" s="54"/>
      <c r="AG60" s="54"/>
      <c r="AH60" s="54"/>
    </row>
    <row r="61" spans="1:34" s="1" customFormat="1" ht="12.75" x14ac:dyDescent="0.2">
      <c r="A61" s="5">
        <v>20</v>
      </c>
      <c r="B61" s="5">
        <v>436</v>
      </c>
      <c r="C61" s="5">
        <v>0</v>
      </c>
      <c r="D61" s="7">
        <f>416.8048-0.1999</f>
        <v>416.60489999999999</v>
      </c>
      <c r="E61" s="5" t="s">
        <v>57</v>
      </c>
      <c r="F61" s="5" t="s">
        <v>317</v>
      </c>
      <c r="G61" s="5" t="s">
        <v>257</v>
      </c>
      <c r="H61" s="6">
        <f>ROUND((O64*250000)+(N61*2200)+(P61*2650)+(Q61*840)+(R61*420)+(S61*840)+(T61*2750)+(U61*1300)+(V61*500)+(W61*670)+(Y61*2500),-3)</f>
        <v>917000</v>
      </c>
      <c r="I61" s="5" t="s">
        <v>258</v>
      </c>
      <c r="J61" s="5" t="s">
        <v>318</v>
      </c>
      <c r="K61" s="5"/>
      <c r="L61" s="6"/>
      <c r="M61" s="5">
        <v>12</v>
      </c>
      <c r="N61" s="7">
        <f>D61-O64</f>
        <v>416.60489999999999</v>
      </c>
      <c r="O61" s="8">
        <v>0</v>
      </c>
      <c r="P61" s="9"/>
      <c r="Q61" s="9"/>
      <c r="R61" s="9"/>
      <c r="S61" s="9"/>
      <c r="T61" s="9"/>
      <c r="U61" s="9"/>
      <c r="V61" s="9"/>
      <c r="W61" s="9"/>
      <c r="X61" s="9"/>
      <c r="Y61" s="9"/>
      <c r="Z61" s="31">
        <f t="shared" si="11"/>
        <v>917000</v>
      </c>
      <c r="AA61" s="60" t="s">
        <v>319</v>
      </c>
      <c r="AB61" s="54"/>
    </row>
    <row r="62" spans="1:34" s="1" customFormat="1" ht="12.75" x14ac:dyDescent="0.2">
      <c r="A62" s="5">
        <v>20</v>
      </c>
      <c r="B62" s="5">
        <v>436</v>
      </c>
      <c r="C62" s="5">
        <v>1</v>
      </c>
      <c r="D62" s="7">
        <v>0.19989999999999999</v>
      </c>
      <c r="E62" s="5" t="s">
        <v>320</v>
      </c>
      <c r="F62" s="5" t="s">
        <v>321</v>
      </c>
      <c r="G62" s="5"/>
      <c r="H62" s="6">
        <f>ROUND((O62*250000)+(N62*600)+(P62*2650)+(Q62*840)+(R62*420)+(S62*840)+(T62*2750)+(U62*1300)+(V62*500)+(W62*670)+(Y62*2500),-3)+500</f>
        <v>500</v>
      </c>
      <c r="I62" s="51" t="s">
        <v>151</v>
      </c>
      <c r="J62" s="5"/>
      <c r="K62" s="5"/>
      <c r="L62" s="6"/>
      <c r="M62" s="5">
        <v>13</v>
      </c>
      <c r="N62" s="7">
        <f t="shared" si="5"/>
        <v>0.19989999999999999</v>
      </c>
      <c r="O62" s="8">
        <v>0</v>
      </c>
      <c r="P62" s="9"/>
      <c r="Q62" s="9"/>
      <c r="R62" s="9"/>
      <c r="S62" s="9"/>
      <c r="T62" s="9"/>
      <c r="U62" s="9"/>
      <c r="V62" s="9"/>
      <c r="W62" s="9"/>
      <c r="X62" s="9"/>
      <c r="Y62" s="9"/>
      <c r="Z62" s="31">
        <f t="shared" si="11"/>
        <v>500</v>
      </c>
      <c r="AA62" s="60" t="s">
        <v>322</v>
      </c>
      <c r="AB62" s="54"/>
    </row>
    <row r="63" spans="1:34" s="1" customFormat="1" ht="12.75" x14ac:dyDescent="0.2">
      <c r="A63" s="5">
        <v>20</v>
      </c>
      <c r="B63" s="5">
        <v>447</v>
      </c>
      <c r="C63" s="5">
        <v>0</v>
      </c>
      <c r="D63" s="7">
        <f>480.5349-21.4477</f>
        <v>459.0872</v>
      </c>
      <c r="E63" s="5" t="s">
        <v>57</v>
      </c>
      <c r="F63" s="5" t="s">
        <v>323</v>
      </c>
      <c r="G63" s="5" t="s">
        <v>324</v>
      </c>
      <c r="H63" s="6">
        <f>ROUND((O63*250000)+(N63*6150)+(P63*2650)+(Q63*840)+(R63*420)+(S63*840)+(T63*2750)+(U63*1300)+(V63*500)+(W63*670)+(Y63*1400),-3)</f>
        <v>2823000</v>
      </c>
      <c r="I63" s="25" t="s">
        <v>325</v>
      </c>
      <c r="J63" s="25" t="s">
        <v>326</v>
      </c>
      <c r="K63" s="25">
        <v>20141003</v>
      </c>
      <c r="L63" s="53">
        <v>5500000</v>
      </c>
      <c r="M63" s="5">
        <v>12</v>
      </c>
      <c r="N63" s="7">
        <f t="shared" ref="N63:N64" si="12">D63-O63</f>
        <v>459.0872</v>
      </c>
      <c r="O63" s="8">
        <v>0</v>
      </c>
      <c r="P63" s="9"/>
      <c r="Q63" s="9"/>
      <c r="R63" s="9"/>
      <c r="S63" s="9"/>
      <c r="T63" s="9"/>
      <c r="U63" s="9"/>
      <c r="V63" s="9"/>
      <c r="W63" s="9"/>
      <c r="X63" s="9"/>
      <c r="Y63" s="9"/>
      <c r="Z63" s="31">
        <f t="shared" si="11"/>
        <v>2823000</v>
      </c>
      <c r="AA63" s="60" t="s">
        <v>327</v>
      </c>
      <c r="AB63" s="54"/>
    </row>
    <row r="64" spans="1:34" s="1" customFormat="1" ht="12.75" x14ac:dyDescent="0.2">
      <c r="A64" s="5">
        <v>20</v>
      </c>
      <c r="B64" s="5">
        <v>447</v>
      </c>
      <c r="C64" s="5">
        <v>1</v>
      </c>
      <c r="D64" s="7">
        <v>21.447700000000001</v>
      </c>
      <c r="E64" s="5" t="s">
        <v>320</v>
      </c>
      <c r="F64" s="5" t="s">
        <v>328</v>
      </c>
      <c r="G64" s="5"/>
      <c r="H64" s="6">
        <f>ROUND((O64*250000)+(N64*600)+(P64*2650)+(Q64*840)+(R64*420)+(S64*840)+(T64*2750)+(U64*1300)+(V64*500)+(W64*670)+(Y64*2500),-3)</f>
        <v>13000</v>
      </c>
      <c r="I64" s="51" t="s">
        <v>151</v>
      </c>
      <c r="J64" s="5"/>
      <c r="K64" s="5"/>
      <c r="L64" s="6"/>
      <c r="M64" s="5">
        <v>13</v>
      </c>
      <c r="N64" s="7">
        <f t="shared" si="12"/>
        <v>21.447700000000001</v>
      </c>
      <c r="O64" s="8">
        <v>0</v>
      </c>
      <c r="P64" s="9"/>
      <c r="Q64" s="9"/>
      <c r="R64" s="9"/>
      <c r="S64" s="9"/>
      <c r="T64" s="9"/>
      <c r="U64" s="9"/>
      <c r="V64" s="9"/>
      <c r="W64" s="9"/>
      <c r="X64" s="9"/>
      <c r="Y64" s="9"/>
      <c r="Z64" s="31">
        <f t="shared" si="11"/>
        <v>13000</v>
      </c>
      <c r="AA64" s="60" t="s">
        <v>329</v>
      </c>
      <c r="AB64" s="54"/>
    </row>
    <row r="65" spans="1:34" s="1" customFormat="1" ht="12.75" x14ac:dyDescent="0.2">
      <c r="A65" s="5">
        <v>20</v>
      </c>
      <c r="B65" s="5">
        <v>448</v>
      </c>
      <c r="C65" s="5">
        <v>0</v>
      </c>
      <c r="D65" s="7">
        <v>652.84249999999997</v>
      </c>
      <c r="E65" s="5" t="s">
        <v>57</v>
      </c>
      <c r="F65" s="5" t="s">
        <v>308</v>
      </c>
      <c r="G65" s="5" t="s">
        <v>309</v>
      </c>
      <c r="H65" s="6">
        <f>ROUND((O65*250000)+(N65*7400)+(P65*2650)+(Q65*840)+(R65*420)+(S65*840)+(T65*2750)+(U65*1300)+(V65*500)+(W65*670)+(Y65*2500),-3)</f>
        <v>4831000</v>
      </c>
      <c r="I65" s="51" t="s">
        <v>310</v>
      </c>
      <c r="J65" s="51" t="s">
        <v>311</v>
      </c>
      <c r="K65" s="55"/>
      <c r="L65" s="52" t="s">
        <v>155</v>
      </c>
      <c r="M65" s="5"/>
      <c r="N65" s="7">
        <f t="shared" ref="N65:N66" si="13">D65-O65</f>
        <v>652.84249999999997</v>
      </c>
      <c r="O65" s="8">
        <v>0</v>
      </c>
      <c r="P65" s="9"/>
      <c r="Q65" s="9"/>
      <c r="R65" s="9"/>
      <c r="S65" s="9"/>
      <c r="T65" s="9"/>
      <c r="U65" s="9"/>
      <c r="V65" s="9"/>
      <c r="W65" s="9"/>
      <c r="X65" s="9"/>
      <c r="Y65" s="9"/>
      <c r="Z65" s="31">
        <f>+H65</f>
        <v>4831000</v>
      </c>
      <c r="AA65" s="60" t="s">
        <v>62</v>
      </c>
      <c r="AB65" s="54"/>
      <c r="AC65" s="54"/>
      <c r="AD65" s="54"/>
      <c r="AE65" s="54"/>
      <c r="AF65" s="54"/>
      <c r="AG65" s="54"/>
      <c r="AH65" s="54"/>
    </row>
    <row r="66" spans="1:34" s="1" customFormat="1" ht="12.75" x14ac:dyDescent="0.2">
      <c r="A66" s="5">
        <v>20</v>
      </c>
      <c r="B66" s="5">
        <v>456</v>
      </c>
      <c r="C66" s="5">
        <v>0</v>
      </c>
      <c r="D66" s="7">
        <v>1672.2003</v>
      </c>
      <c r="E66" s="5" t="s">
        <v>57</v>
      </c>
      <c r="F66" s="5" t="s">
        <v>312</v>
      </c>
      <c r="G66" s="5"/>
      <c r="H66" s="6">
        <f>ROUND((O66*200000)+(N66*4250)+(P66*2650)+(Q66*840)+(R66*420)+(S66*840)+(T66*2750)+(U66*1300)+(V66*500)+(W66*670)+(Y66*1400),-3)</f>
        <v>17384000</v>
      </c>
      <c r="I66" s="5" t="s">
        <v>313</v>
      </c>
      <c r="J66" s="5" t="s">
        <v>314</v>
      </c>
      <c r="K66" s="5"/>
      <c r="L66" s="6"/>
      <c r="M66" s="5">
        <v>13</v>
      </c>
      <c r="N66" s="7">
        <f t="shared" si="13"/>
        <v>1624.2003</v>
      </c>
      <c r="O66" s="8">
        <v>48</v>
      </c>
      <c r="P66" s="9">
        <v>294</v>
      </c>
      <c r="Q66" s="9"/>
      <c r="R66" s="9"/>
      <c r="S66" s="9">
        <v>121</v>
      </c>
      <c r="T66" s="9"/>
      <c r="U66" s="9"/>
      <c r="V66" s="9"/>
      <c r="W66" s="9"/>
      <c r="X66" s="9"/>
      <c r="Y66" s="9"/>
      <c r="Z66" s="31">
        <f>+H66</f>
        <v>17384000</v>
      </c>
      <c r="AA66" s="60" t="s">
        <v>315</v>
      </c>
      <c r="AB66" s="54"/>
      <c r="AC66" s="54"/>
      <c r="AD66" s="54"/>
      <c r="AE66" s="54"/>
      <c r="AF66" s="54"/>
      <c r="AG66" s="54"/>
      <c r="AH66" s="54"/>
    </row>
    <row r="68" spans="1:34" ht="15" x14ac:dyDescent="0.25">
      <c r="H68" s="57">
        <f>SUM(H5:H67)</f>
        <v>368731500</v>
      </c>
      <c r="Z68" s="62">
        <f>SUM(Z5:Z66)</f>
        <v>368731500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BEDFORD RD</vt:lpstr>
      <vt:lpstr>PEARSTON RD</vt:lpstr>
      <vt:lpstr>GRAAFF REINET RD</vt:lpstr>
      <vt:lpstr>S EAST 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2020-03-05T05:40:36Z</dcterms:modified>
</cp:coreProperties>
</file>